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960" windowWidth="10380" windowHeight="2145" tabRatio="801" activeTab="0"/>
  </bookViews>
  <sheets>
    <sheet name="ESTADO DE RESULTADOS" sheetId="1" r:id="rId1"/>
    <sheet name="PRESUPACUM" sheetId="2" state="hidden" r:id="rId2"/>
    <sheet name="PREEJERACUM" sheetId="3" state="hidden" r:id="rId3"/>
    <sheet name="AMARRE ACTIVO FIJO" sheetId="4" state="hidden" r:id="rId4"/>
  </sheets>
  <externalReferences>
    <externalReference r:id="rId7"/>
    <externalReference r:id="rId8"/>
    <externalReference r:id="rId9"/>
  </externalReferences>
  <definedNames>
    <definedName name="_xlnm.Print_Area" localSheetId="3">'AMARRE ACTIVO FIJO'!$A$1:$J$59</definedName>
    <definedName name="_xlnm.Print_Area" localSheetId="0">'ESTADO DE RESULTADOS'!$A$1:$G$141</definedName>
    <definedName name="_xlnm.Print_Area" localSheetId="1">'PRESUPACUM'!$B$1:$AD$195</definedName>
    <definedName name="_xlnm.Print_Titles" localSheetId="2">'PREEJERACUM'!$3:$10</definedName>
    <definedName name="_xlnm.Print_Titles" localSheetId="1">'PRESUPACUM'!$B:$C,'PRESUPACUM'!$3:$10</definedName>
  </definedNames>
  <calcPr fullCalcOnLoad="1"/>
</workbook>
</file>

<file path=xl/sharedStrings.xml><?xml version="1.0" encoding="utf-8"?>
<sst xmlns="http://schemas.openxmlformats.org/spreadsheetml/2006/main" count="694" uniqueCount="284">
  <si>
    <t>A DICIEMBRE</t>
  </si>
  <si>
    <t>TOTAL PRESUPUESTO EJERCIDO DE GASTO CORRIENTE</t>
  </si>
  <si>
    <t>PRESUPUESTO EJERCIDO DE GASTO DE INVERSIÓN</t>
  </si>
  <si>
    <t xml:space="preserve">Impuesto sobre nóminas                           </t>
  </si>
  <si>
    <t>ELABORÓ</t>
  </si>
  <si>
    <t>SUPERVISÓ</t>
  </si>
  <si>
    <t>ASIGNACIÓN</t>
  </si>
  <si>
    <t>Servicio de telefonía celular</t>
  </si>
  <si>
    <t xml:space="preserve">Utensilios para el servicio de alimentación                       </t>
  </si>
  <si>
    <t>Materiales accesorios y sum. de laboratorios</t>
  </si>
  <si>
    <t xml:space="preserve">               REMUNERACIONES AL PERSONAL DE CARÁCTER PERMANENTE</t>
  </si>
  <si>
    <t xml:space="preserve">                ALIMENTOS Y UTENSILIOS</t>
  </si>
  <si>
    <t xml:space="preserve">                COMBUSTIBLES, LUBRICANTES Y ADITIVOS</t>
  </si>
  <si>
    <t xml:space="preserve">                SERVICIOS BÁSICOS</t>
  </si>
  <si>
    <t>VEHÍCULOS Y EQUIPO DE TRANSPORTE</t>
  </si>
  <si>
    <t xml:space="preserve">Remun. adicionales y especiales                    </t>
  </si>
  <si>
    <t xml:space="preserve">Vest, blancos, prendas prot. y art. dep.                      </t>
  </si>
  <si>
    <t xml:space="preserve">Comb. lubricantes y aditivos                      </t>
  </si>
  <si>
    <t>REVISÓ</t>
  </si>
  <si>
    <t xml:space="preserve">               PAGOS POR OTRAS PRESTACIONES SOCIALES Y ECONÓMICAS</t>
  </si>
  <si>
    <t>TOTAL PRESUPUESTO EJERCIDO DE GTO. CTE. Y GTO. INV.</t>
  </si>
  <si>
    <t>Ingresos por sanciones en licitaciones</t>
  </si>
  <si>
    <t>Ingresos  por venta de bases para licitación</t>
  </si>
  <si>
    <t>Compensaciones por servicios eventuales</t>
  </si>
  <si>
    <t>Asignación gasto corriente</t>
  </si>
  <si>
    <t>Asignación gasto de inversión</t>
  </si>
  <si>
    <t>JEFE DEPARTAMENTO DE CONTABILIDAD</t>
  </si>
  <si>
    <t>Otros arrendamientos</t>
  </si>
  <si>
    <t xml:space="preserve">                VESTUARIO, BLANCOS PRENDAS DE PROTECCIÓN Y ARTS. DEP.</t>
  </si>
  <si>
    <t xml:space="preserve">                             PRESUPUESTO POR EJERCER DE GASTO CORRIENTE</t>
  </si>
  <si>
    <t xml:space="preserve">                             PRESUPUESTO POR EJERCER DE GASTO DE INVERSIÓN</t>
  </si>
  <si>
    <t xml:space="preserve"> </t>
  </si>
  <si>
    <t>PRESUPUESTO AUTORIZADO</t>
  </si>
  <si>
    <t>ACUMULADO</t>
  </si>
  <si>
    <t>%</t>
  </si>
  <si>
    <t>SERVICIOS PERSONALES</t>
  </si>
  <si>
    <t xml:space="preserve">               REMUNERACIONES AL PERSONAL DE CARÁCTER TRANSITORIO</t>
  </si>
  <si>
    <t xml:space="preserve">               REMUNERACIONES ADICIONALES Y ESPECIALES</t>
  </si>
  <si>
    <t xml:space="preserve">               PAGOS POR CONCEPTO DE SEGURIDAD SOCIAL</t>
  </si>
  <si>
    <t xml:space="preserve">TOTAL </t>
  </si>
  <si>
    <t>MATERIALES Y SUMINISTROS</t>
  </si>
  <si>
    <t xml:space="preserve">               </t>
  </si>
  <si>
    <t>SERVICIOS GENERALES</t>
  </si>
  <si>
    <t xml:space="preserve">                SERVICIOS OFICIALES</t>
  </si>
  <si>
    <t>L.C. TOMÁS JUAN GODINEZ TORRES</t>
  </si>
  <si>
    <t xml:space="preserve">Materiales de limpieza                           </t>
  </si>
  <si>
    <t>Alimentos y utensilios</t>
  </si>
  <si>
    <t xml:space="preserve">                 TOTAL EJERCIDO DE GASTO DE INVERSIÓN</t>
  </si>
  <si>
    <t>Medicinas y productos farmacéuticos</t>
  </si>
  <si>
    <t>Materiales accesorios y suministros médicos</t>
  </si>
  <si>
    <t>Servicios Básicos</t>
  </si>
  <si>
    <t xml:space="preserve">Servicios oficiales                               </t>
  </si>
  <si>
    <t xml:space="preserve">ASIGNACIÓN </t>
  </si>
  <si>
    <t>PRESUPUESTO</t>
  </si>
  <si>
    <t>PTA.</t>
  </si>
  <si>
    <t xml:space="preserve">Gratificación de fin de año                               </t>
  </si>
  <si>
    <t>TOTAL POR EJERCER DE GASTO CORRIENTE</t>
  </si>
  <si>
    <t xml:space="preserve">Mat. y útiles de imp. y reproducción                      </t>
  </si>
  <si>
    <t>MARZO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</si>
  <si>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</si>
  <si>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</si>
  <si>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</si>
  <si>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</si>
  <si>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</si>
  <si>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</si>
  <si>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</si>
  <si>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</si>
  <si>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</si>
  <si>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</si>
  <si>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</si>
  <si>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DEL PRESUPUESTO</t>
  </si>
  <si>
    <t>TRIBUNAL ELECTORAL DEL DISTRITO FEDERAL</t>
  </si>
  <si>
    <t>SECRETARIA ADMINISTRATIVA</t>
  </si>
  <si>
    <t>SALDOS  AL</t>
  </si>
  <si>
    <t>SUBTOTAL</t>
  </si>
  <si>
    <t xml:space="preserve">A JUNIO </t>
  </si>
  <si>
    <t>IMPORTE</t>
  </si>
  <si>
    <t>ANUAL</t>
  </si>
  <si>
    <t>POR    EJERCER</t>
  </si>
  <si>
    <t xml:space="preserve">          </t>
  </si>
  <si>
    <t>TOTAL</t>
  </si>
  <si>
    <t>PRESUPUESTO ANUAL AUTORIZADO</t>
  </si>
  <si>
    <t>C  O  N  C  E  P  T  O</t>
  </si>
  <si>
    <t xml:space="preserve"> ENERO</t>
  </si>
  <si>
    <t xml:space="preserve"> FEBRERO</t>
  </si>
  <si>
    <t xml:space="preserve"> MARZO</t>
  </si>
  <si>
    <t>EJERCIDO</t>
  </si>
  <si>
    <t>Fletes y maniobras</t>
  </si>
  <si>
    <t>AUTORIZÓ</t>
  </si>
  <si>
    <t>COMPRAS</t>
  </si>
  <si>
    <t>ANUAL MODIF.</t>
  </si>
  <si>
    <t>SECRETARIO ADMINISTRATIVO</t>
  </si>
  <si>
    <t xml:space="preserve">            </t>
  </si>
  <si>
    <t>TOTAL POR EJERCER DEL PRESUPUESTO ANUAL</t>
  </si>
  <si>
    <t>BIENES MUEBLES</t>
  </si>
  <si>
    <t>TOTAL INGRESOS DE GESTIÓN</t>
  </si>
  <si>
    <t>OTROS INGRESOS Y BENEFICIOS</t>
  </si>
  <si>
    <t>Ingresos Financieros</t>
  </si>
  <si>
    <t>Otros Ingresos y Beneficios Varios</t>
  </si>
  <si>
    <t>GASTOS DE FUNCIONAMIENTO</t>
  </si>
  <si>
    <t>Otros ingresos y beneficios varios</t>
  </si>
  <si>
    <t>Sueldos base al personal permanente</t>
  </si>
  <si>
    <t>Prima quinquenal por años de servicios efectivos prestados</t>
  </si>
  <si>
    <t xml:space="preserve">Prima vacaciones </t>
  </si>
  <si>
    <t>Aportaciones a instituciones de seguridad social</t>
  </si>
  <si>
    <t>Aportaciones a fondos de vivienda</t>
  </si>
  <si>
    <t>Aport. al sist. p/el ret. o admin. de fondos p/el ret. y ahorro solid.</t>
  </si>
  <si>
    <t>Primas por seguro de vida del personal civil</t>
  </si>
  <si>
    <t>Cuotas para el fondo de ahorro y fondo de trabajo</t>
  </si>
  <si>
    <t>Asig. p/req. de cargos de serv. pub. de nivel técnico operativo</t>
  </si>
  <si>
    <t>Asig. p/req. cargos de serv. pub. sup.y m. med. lid. coord y enl.</t>
  </si>
  <si>
    <t xml:space="preserve">Materiales, útiles y equipos menores de oficina                      </t>
  </si>
  <si>
    <t>Liq. Por Indemnizaciones y por suedos y salarios caídos</t>
  </si>
  <si>
    <t>Vales</t>
  </si>
  <si>
    <t xml:space="preserve">Mat. útiles, y eq. menores de tec. de la info. y comunicaciones </t>
  </si>
  <si>
    <t>Mats. Útiles de enseñanza</t>
  </si>
  <si>
    <t>Material impreso e información digital</t>
  </si>
  <si>
    <t>Productos alimenticios y bebidas para personas</t>
  </si>
  <si>
    <t>Otros 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</si>
  <si>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</si>
  <si>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</si>
  <si>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</si>
  <si>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</si>
  <si>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</si>
  <si>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</si>
  <si>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</si>
  <si>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productos de construccióm y reparación</t>
  </si>
  <si>
    <t xml:space="preserve">Combustibles, lubricantes y aditivos               </t>
  </si>
  <si>
    <t xml:space="preserve">Vestuarios y uniformes </t>
  </si>
  <si>
    <t>Prendas de seguridad y protección personal</t>
  </si>
  <si>
    <t>Refacc. Y accs. Menores eq. Comp. Y tec. Info.</t>
  </si>
  <si>
    <t>Herramientas menores</t>
  </si>
  <si>
    <t>Refacciones, y accesorios menores de edificio</t>
  </si>
  <si>
    <t>Ref., accs., men. Mob. Y eq. Admon., educ. y recreativo</t>
  </si>
  <si>
    <t>Telefonía tradicional</t>
  </si>
  <si>
    <t xml:space="preserve">Energia eléctrica                       </t>
  </si>
  <si>
    <t>Agua potable</t>
  </si>
  <si>
    <t>Serv. De telecomunicaciones y satélite</t>
  </si>
  <si>
    <t xml:space="preserve">Servicios postales y telegráficos                                  </t>
  </si>
  <si>
    <t>Servicios de acceso a internet, redes y procesamiento de info.</t>
  </si>
  <si>
    <t>Servicios legales, de contabilidad, auditoria y relacionados</t>
  </si>
  <si>
    <t>Serv. de consultoria adma. proc., técnica y en tec. de la info.</t>
  </si>
  <si>
    <t>Servicios de capacitación</t>
  </si>
  <si>
    <t>Servicios de investigación científica y desarrollo</t>
  </si>
  <si>
    <t>Serv. De apoyo admo., traduc., fotocopiado e impresión</t>
  </si>
  <si>
    <t>Servicios de vigilancia</t>
  </si>
  <si>
    <t>Serv. Profesionales, científicos y técnicos integrales</t>
  </si>
  <si>
    <t>Seguro de bienes patrimoniales</t>
  </si>
  <si>
    <t>Servicios financieros, bancarios y comerciales integrales</t>
  </si>
  <si>
    <t xml:space="preserve">Servicios de arrendamiento </t>
  </si>
  <si>
    <t>Servicios de instalación, reparación mto. y conservación</t>
  </si>
  <si>
    <t xml:space="preserve">Conservación y mantenimiento menor de inmuebles                         </t>
  </si>
  <si>
    <t>Inst., rep. y mto. de mob. y eq. de admon., educ. y recreativo</t>
  </si>
  <si>
    <t>Inst., rep. y mto. de eq. de cómputo y tec. de la info.</t>
  </si>
  <si>
    <t>Servicios de limpieza y manejo de desechos</t>
  </si>
  <si>
    <t>Servicios de jardineria y fumigación</t>
  </si>
  <si>
    <t>Serv. de comunicación social y publicidad</t>
  </si>
  <si>
    <t>Serv. de traslado y viáticos</t>
  </si>
  <si>
    <t>Pasajes aereos</t>
  </si>
  <si>
    <t>Pasajes terrestres</t>
  </si>
  <si>
    <t>Viáticos en el país</t>
  </si>
  <si>
    <t>Otros servicios de traslado y hospedaje</t>
  </si>
  <si>
    <t>Viáticos en el extranjero</t>
  </si>
  <si>
    <t xml:space="preserve">Gastos de ceremonial </t>
  </si>
  <si>
    <t>Gastos de orden social y cultural</t>
  </si>
  <si>
    <t>Congresos y convenciones</t>
  </si>
  <si>
    <t>Otros servicios generales</t>
  </si>
  <si>
    <t>Impuestos y derechos</t>
  </si>
  <si>
    <t>BIENES MUEBLES,  INMUEBLES E INTANGIBLES</t>
  </si>
  <si>
    <t>BIENES INMUEBLES, INFRAESTRUCTURA Y CONST. EN PROC.</t>
  </si>
  <si>
    <t>Edificios no habitacionales</t>
  </si>
  <si>
    <t>Otros bienes inmuebles</t>
  </si>
  <si>
    <t>Activos intangibles</t>
  </si>
  <si>
    <t>Software</t>
  </si>
  <si>
    <t>Patentes</t>
  </si>
  <si>
    <t>Marcas</t>
  </si>
  <si>
    <t>Derechos</t>
  </si>
  <si>
    <t>Otros activos intangibles</t>
  </si>
  <si>
    <t xml:space="preserve">                OTROS SERVICIOS GENERALES</t>
  </si>
  <si>
    <t>PRESUPUESTO AUTORIZADO DE GASTO CORRIENTE</t>
  </si>
  <si>
    <t>PRESUPUESTO AUTORIZADO GASTO DE INVERSIÓN</t>
  </si>
  <si>
    <t>Remun. al personal de carácter permanente</t>
  </si>
  <si>
    <t>Remun. Al personal de carácter transitorio</t>
  </si>
  <si>
    <t xml:space="preserve">Seguridad social                      </t>
  </si>
  <si>
    <t>Otras prestaciones sociales y económicas</t>
  </si>
  <si>
    <t>Mats. de admon emisión doc. y arts. Ofic.</t>
  </si>
  <si>
    <t xml:space="preserve">Mats y arts. de const. y de reparación                          </t>
  </si>
  <si>
    <t>Prod químicos, farmacéuticos y de lab.</t>
  </si>
  <si>
    <t>Herram, refacciones y acces. menores</t>
  </si>
  <si>
    <t>Servicios prof., científicos, téc. y o. serv.</t>
  </si>
  <si>
    <t xml:space="preserve">Serv. financieros, bancarios y comerciales                      </t>
  </si>
  <si>
    <t>Arr. de mob. y eq. de admon, educ. y recreativo</t>
  </si>
  <si>
    <t>Seguro de resp. Patrimonial y fianzas</t>
  </si>
  <si>
    <t>Rep. y mto. de eq. Transporte dest. a serv. pub. y serv. admos.</t>
  </si>
  <si>
    <t>Pasajes terrestres al interior del D.F.</t>
  </si>
  <si>
    <t>Muebles de oficina y estantería</t>
  </si>
  <si>
    <t>Otros mobiliarios y eq. de admon.</t>
  </si>
  <si>
    <t>Sist. aire acond. calef, y de ref. ind. y comercial</t>
  </si>
  <si>
    <t>Licencias informáticas e intelectuales</t>
  </si>
  <si>
    <t>PRESUPUESTO TOTAL</t>
  </si>
  <si>
    <t>Servicios financieros y bancarios</t>
  </si>
  <si>
    <t>Exposiciones</t>
  </si>
  <si>
    <t>Honorarios asimilables a salarios</t>
  </si>
  <si>
    <t>Fertilizantes, pesticidas y otros agroquimicos</t>
  </si>
  <si>
    <t>Intal. rep. y mto maq, otros equipos y herramienta</t>
  </si>
  <si>
    <t>Productos quimicos básicos</t>
  </si>
  <si>
    <t>Fibras sintéticas, hules, plásticos y derivados</t>
  </si>
  <si>
    <t>Ref. y acc. Men. Otros bienes muebles</t>
  </si>
  <si>
    <t>ojo: el monto ejercido se mostrará en cédula preejeracum</t>
  </si>
  <si>
    <t xml:space="preserve">          B. INMUEBLES, INFRAESTRUCTURA Y CONSTRUCCIONES. EN PROCESO</t>
  </si>
  <si>
    <t xml:space="preserve">          ACTIVOS INTANGIBLES</t>
  </si>
  <si>
    <t>Bienes muebles</t>
  </si>
  <si>
    <t>Bienes inmuebles</t>
  </si>
  <si>
    <t xml:space="preserve">               IMPUESTO SOBRE NÓMINAS O QUE DERIVEN DE UNA REL. LABORAL</t>
  </si>
  <si>
    <t xml:space="preserve">                MATERIALES DE ADMON, EMISIÓN DOC. Y ARTS. OFICIALES</t>
  </si>
  <si>
    <t xml:space="preserve">                MATERIALES Y ARTÍCULOS DE CONSTRUCCIÓN Y REPARACIÓN</t>
  </si>
  <si>
    <t xml:space="preserve">                PROD. QUIMICOS, FARMACÉUTICOS Y DE LABORATORIO</t>
  </si>
  <si>
    <t xml:space="preserve">                HERRAMIENTAS, REFACCIONES Y ACCESORIOS MENORES</t>
  </si>
  <si>
    <t xml:space="preserve">                SERVICIOS DE ARRENDAMIENTO </t>
  </si>
  <si>
    <t xml:space="preserve">                SERVICIOS PROF. CIENTIFICOS, TÉCNICOS Y OTROS SERVICIOS</t>
  </si>
  <si>
    <t xml:space="preserve">                SERVICIOS FINANCIEROS, BANCARIOS Y COMERCIALES</t>
  </si>
  <si>
    <t xml:space="preserve">                SERVICIOS DE INSTAL. REP. MTO. Y CONSERVACIÓN</t>
  </si>
  <si>
    <t xml:space="preserve">                SERVICIOS DE COMUNICACIÓN SOCIAL Y PUBLICIDAD</t>
  </si>
  <si>
    <t xml:space="preserve">                SERVICIOS DE TRASLADO Y VIÁTICOS</t>
  </si>
  <si>
    <t>Serv de creación y dif. cont. excl. A través de internet</t>
  </si>
  <si>
    <t>Equipo de cómputo y de tecnologías de la información</t>
  </si>
  <si>
    <t>Automoviles y camiones dest. a serv. pub. y serv. Admos.</t>
  </si>
  <si>
    <t>Equipo de comunicación y telecomunicación</t>
  </si>
  <si>
    <t>Herramientas y máquinas-herramienta.</t>
  </si>
  <si>
    <t>Serv. de telecomunicaciones y satélite</t>
  </si>
  <si>
    <t>y son responsabilidad del emisor.</t>
  </si>
  <si>
    <t xml:space="preserve">Bajo protesta de decir verdad, declaramos que los Estados Financieros y sus notas, son razonablemente correctos </t>
  </si>
  <si>
    <t>Otras aportaciones para seguros</t>
  </si>
  <si>
    <t>Otros equipos</t>
  </si>
  <si>
    <t xml:space="preserve">          BIENES MUEBLES</t>
  </si>
  <si>
    <t>Dif radio tv y/o med mens s/prog y activ gub</t>
  </si>
  <si>
    <t>Equipos y aparatos audiovisuales</t>
  </si>
  <si>
    <t>Serv fun. y de cem. a los fam de los civ. y pensionistas directos</t>
  </si>
  <si>
    <t>C.P. LAURA ELENA GALVÁN FRANCO</t>
  </si>
  <si>
    <t>SUBDIRECTORA DE CONTABILIDAD Y CONTROL</t>
  </si>
  <si>
    <t>Servicios de impresión.</t>
  </si>
  <si>
    <t>Apoyo económico por defunción de familiares directos</t>
  </si>
  <si>
    <t>Serv. Ind. Fílmica del sonido y del video</t>
  </si>
  <si>
    <t>DIRECTOR DE PLANEACIÓN Y</t>
  </si>
  <si>
    <t>Cámaras fotográficas y de video</t>
  </si>
  <si>
    <t>Arrendamiento de activos intangibles.</t>
  </si>
  <si>
    <t>Sentencias y resoluciones por autoridad competente.</t>
  </si>
  <si>
    <t>DEPRECIACIONES</t>
  </si>
  <si>
    <t xml:space="preserve">MOBILIARIO, EQUIPO DE ADMON, B. INFORMÁTICOS, EQ. EDUC., CÁM. FOT. Y VIDEO, O. MOB. Y EQ. EDUC. Y REC. </t>
  </si>
  <si>
    <t>MOBILIARIO Y EQUIPO EDUCACIONAL Y RECREATIVO</t>
  </si>
  <si>
    <t>MAQ., OTROS EQ. Y HERRAMIENTAS ( Sist a.acond.calef. Y ref. ind. Y com., eq. Y aptos de com. Y telecomunicación )</t>
  </si>
  <si>
    <t>LIBROS</t>
  </si>
  <si>
    <t>ACTIVO FIJO</t>
  </si>
  <si>
    <t>LIC. GABRIEL CONTRERAS SAUCEDO</t>
  </si>
  <si>
    <t>MAQ., OTROS EQ. Y HERRAMIENTAS ( Sist a.acond.calef. y ref. ind. y com., eq. y aptos de com. y telecomunicación )</t>
  </si>
  <si>
    <t>Total</t>
  </si>
  <si>
    <t>neto bienes inmuebles</t>
  </si>
  <si>
    <t>para nota 2 en balance(hoja 3)</t>
  </si>
  <si>
    <t>ACTIVOS INTANGIBLES</t>
  </si>
  <si>
    <t xml:space="preserve">1-2-5-1-01-001: 1-2-5-2-00-000: 1-2-5-3-00-000: 1-2-5-4-00-001: 1-2-5-9-00-000 </t>
  </si>
  <si>
    <t>Bienes intangibles</t>
  </si>
  <si>
    <t>1-2-6-5-00-000</t>
  </si>
  <si>
    <t>1-2-6-3-04-001,1-2-4-6-3-04-002, 1-2-6-3-04-006 y 1-2-6-3-04-009</t>
  </si>
  <si>
    <t xml:space="preserve">1-2-6-1-01-000 </t>
  </si>
  <si>
    <t>1-2-6-3-01-001, 1-2-6-3-01-002, 1-2-6-3-01-003</t>
  </si>
  <si>
    <t>1-2-6-3-02-001, 1-2-6-3-02-003, 1-2-6-3-02-009</t>
  </si>
  <si>
    <t xml:space="preserve">1-2-4-1-01-001, 1-2-4-1-01-002, 1-2-4-1-01-003, 1-2-4-1-01-004, 1-2-4-1-01-005 </t>
  </si>
  <si>
    <t>1-2-4-2-01-001, 1-2-4-2-03-001, 1-2-4-2-09-001</t>
  </si>
  <si>
    <t>1-2-4-6-01-001, 1-2-4-6-01-002,1-2-4-6-01-003,1-2-4-6-04-001,1-2-4-6-05-001,1-2-4-6-06-001,</t>
  </si>
  <si>
    <t>1-2-4-6-07-001,1-2-4-6-09-001</t>
  </si>
  <si>
    <t>1-2-4-4-01-001,1-2-4-4-01-002, 1-2-4-4-01-003</t>
  </si>
  <si>
    <t xml:space="preserve">1-2-3-1-00-000 y 1-2-3-4-00-000 </t>
  </si>
  <si>
    <t>BIENES INMUEBLES ( terrenos y edificios y locales no habitacionales )</t>
  </si>
  <si>
    <t>1-2-6-3-06-004, 1-2-6-3-06-005,  1-2-6-3-06-006, 1-2-6-3-06-007, 1-2-6-3-06-009</t>
  </si>
  <si>
    <t>*</t>
  </si>
  <si>
    <t xml:space="preserve"> RECURSOS FINANCIEROS</t>
  </si>
  <si>
    <t>Productos textiles</t>
  </si>
  <si>
    <t>Maquinaria y equipo industrial</t>
  </si>
  <si>
    <t>C.P. FRANCISCO HERNÁNDEZ GONZÁLEZ</t>
  </si>
  <si>
    <t>ANALITICO DEL EJERCICIO PRESUPUESTAL ACUMULADO POR MES DE ENERO A DICIEMBRE DE 2016</t>
  </si>
  <si>
    <t>ANALITICO DEL EJERCICIO PRESUPUESTAL EJERCIDO POR MES Y ACUMULADO DE ENERO A DICIEMBRE DE 2016</t>
  </si>
  <si>
    <t>RESUMEN DE MOVIMIENTOS DE ACTIVO FIJO DEL 01 DE ENERO AL 31 DE DICIEMBRE DE 2016</t>
  </si>
  <si>
    <t xml:space="preserve"> Muebles, excepto de oficina y estantería. </t>
  </si>
  <si>
    <t>ESTADO DE RESULTADOS DEL 1° DE ENERO AL 31 DE MARZO DE 2016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</si>
</sst>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;[Red]#,##0.00"/>
    <numFmt numFmtId="173" formatCode="0.0"/>
    <numFmt numFmtId="174" formatCode="#,##0.0;[Red]#,##0.0"/>
    <numFmt numFmtId="175" formatCode="0.00;[Red]0.00"/>
    <numFmt numFmtId="176" formatCode="0.000000000"/>
    <numFmt numFmtId="177" formatCode="#,##0.0"/>
    <numFmt numFmtId="178" formatCode="#,##0.00000000000"/>
    <numFmt numFmtId="179" formatCode="#,##0.00_ ;\-#,##0.00\ "/>
    <numFmt numFmtId="180" formatCode="&quot;$&quot;#,##0.00"/>
    <numFmt numFmtId="181" formatCode="00000"/>
    <numFmt numFmtId="182" formatCode="#,##0.000000000000"/>
    <numFmt numFmtId="183" formatCode="#,##0.0000000000"/>
    <numFmt numFmtId="184" formatCode="#,##0.000000000"/>
    <numFmt numFmtId="185" formatCode="#,##0.00000000"/>
    <numFmt numFmtId="186" formatCode="#,##0.0000000"/>
    <numFmt numFmtId="187" formatCode="#,##0.000000"/>
    <numFmt numFmtId="188" formatCode="#,##0.00000"/>
    <numFmt numFmtId="189" formatCode="#,##0.0000"/>
    <numFmt numFmtId="190" formatCode="#,##0.000"/>
    <numFmt numFmtId="191" formatCode="#,##0.00_ ;[Red]\-#,##0.00\ "/>
    <numFmt numFmtId="192" formatCode="[$-80A]dddd\,\ dd&quot; de &quot;mmmm&quot; de &quot;yyyy"/>
    <numFmt numFmtId="193" formatCode="[$-80A]d&quot; de &quot;mmmm&quot; de &quot;yyyy;@"/>
    <numFmt numFmtId="194" formatCode="[$-80A]dddd\,\ dd&quot; de &quot;mmmm&quot; de &quot;yyyy;@"/>
    <numFmt numFmtId="195" formatCode="yyyy\-mm\-dd;@"/>
    <numFmt numFmtId="196" formatCode="d/mm/yy;@"/>
    <numFmt numFmtId="197" formatCode="0;[Red]0"/>
    <numFmt numFmtId="198" formatCode="0.00_ ;[Red]\-0.00\ "/>
    <numFmt numFmtId="199" formatCode="#,##0.0000000000_ ;[Red]\-#,##0.0000000000\ "/>
    <numFmt numFmtId="200" formatCode="0_ ;[Red]\-0\ "/>
    <numFmt numFmtId="201" formatCode="#,##0.000000000;[Red]#,##0.000000000"/>
    <numFmt numFmtId="202" formatCode="#,##0.00000000000000"/>
    <numFmt numFmtId="203" formatCode="#,##0.0000000000000;[Red]#,##0.0000000000000"/>
    <numFmt numFmtId="204" formatCode="#,##0.00;[Red]\(#,##0.00\)"/>
    <numFmt numFmtId="205" formatCode="#,##0.00;[Black]\(#,##0.00\)"/>
  </numFmts>
  <fonts count="70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b/>
      <sz val="12"/>
      <color indexed="10"/>
      <name val="Arial"/>
      <family val="2"/>
    </font>
    <font>
      <sz val="2.75"/>
      <color indexed="8"/>
      <name val="Arial"/>
      <family val="0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0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b/>
      <sz val="12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/>
    </border>
    <border>
      <left>
        <color indexed="63"/>
      </left>
      <right>
        <color indexed="63"/>
      </right>
      <top style="thin">
        <color theme="2" tint="-0.4999699890613556"/>
      </top>
      <bottom>
        <color indexed="63"/>
      </bottom>
    </border>
    <border>
      <left style="thin">
        <color indexed="23"/>
      </left>
      <right style="thin">
        <color theme="2" tint="-0.4999699890613556"/>
      </right>
      <top style="thin">
        <color indexed="23"/>
      </top>
      <bottom style="double"/>
    </border>
    <border>
      <left style="thin">
        <color indexed="23"/>
      </left>
      <right style="thin">
        <color theme="2" tint="-0.4999699890613556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2" tint="-0.4999699890613556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32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33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/>
    </xf>
    <xf numFmtId="172" fontId="0" fillId="0" borderId="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191" fontId="7" fillId="33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18" fillId="0" borderId="0" xfId="55" applyFont="1">
      <alignment/>
      <protection/>
    </xf>
    <xf numFmtId="4" fontId="18" fillId="0" borderId="0" xfId="0" applyNumberFormat="1" applyFont="1" applyAlignment="1">
      <alignment/>
    </xf>
    <xf numFmtId="0" fontId="7" fillId="0" borderId="0" xfId="0" applyFont="1" applyAlignment="1">
      <alignment/>
    </xf>
    <xf numFmtId="4" fontId="20" fillId="0" borderId="0" xfId="0" applyNumberFormat="1" applyFont="1" applyBorder="1" applyAlignment="1">
      <alignment/>
    </xf>
    <xf numFmtId="4" fontId="20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172" fontId="18" fillId="0" borderId="0" xfId="0" applyNumberFormat="1" applyFont="1" applyAlignment="1">
      <alignment/>
    </xf>
    <xf numFmtId="0" fontId="18" fillId="0" borderId="0" xfId="55" applyFont="1" applyFill="1">
      <alignment/>
      <protection/>
    </xf>
    <xf numFmtId="0" fontId="18" fillId="0" borderId="0" xfId="0" applyFont="1" applyFill="1" applyAlignment="1">
      <alignment/>
    </xf>
    <xf numFmtId="0" fontId="7" fillId="0" borderId="0" xfId="55" applyFont="1" applyBorder="1">
      <alignment/>
      <protection/>
    </xf>
    <xf numFmtId="0" fontId="18" fillId="0" borderId="0" xfId="55" applyFont="1" applyBorder="1">
      <alignment/>
      <protection/>
    </xf>
    <xf numFmtId="0" fontId="20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191" fontId="18" fillId="33" borderId="0" xfId="0" applyNumberFormat="1" applyFont="1" applyFill="1" applyAlignment="1">
      <alignment/>
    </xf>
    <xf numFmtId="0" fontId="18" fillId="33" borderId="0" xfId="55" applyFont="1" applyFill="1">
      <alignment/>
      <protection/>
    </xf>
    <xf numFmtId="4" fontId="18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7" fillId="0" borderId="0" xfId="55" applyFont="1" applyAlignment="1">
      <alignment horizontal="center"/>
      <protection/>
    </xf>
    <xf numFmtId="191" fontId="18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7" fillId="0" borderId="0" xfId="55" applyFont="1" applyBorder="1" applyAlignment="1">
      <alignment horizontal="center"/>
      <protection/>
    </xf>
    <xf numFmtId="0" fontId="7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191" fontId="18" fillId="0" borderId="0" xfId="0" applyNumberFormat="1" applyFont="1" applyBorder="1" applyAlignment="1">
      <alignment/>
    </xf>
    <xf numFmtId="0" fontId="18" fillId="33" borderId="0" xfId="0" applyFont="1" applyFill="1" applyBorder="1" applyAlignment="1">
      <alignment/>
    </xf>
    <xf numFmtId="191" fontId="7" fillId="0" borderId="0" xfId="0" applyNumberFormat="1" applyFont="1" applyAlignment="1">
      <alignment horizontal="center"/>
    </xf>
    <xf numFmtId="0" fontId="18" fillId="33" borderId="10" xfId="0" applyFont="1" applyFill="1" applyBorder="1" applyAlignment="1">
      <alignment/>
    </xf>
    <xf numFmtId="0" fontId="18" fillId="0" borderId="10" xfId="55" applyFont="1" applyBorder="1">
      <alignment/>
      <protection/>
    </xf>
    <xf numFmtId="0" fontId="7" fillId="0" borderId="10" xfId="55" applyFont="1" applyBorder="1" applyAlignment="1">
      <alignment horizontal="center"/>
      <protection/>
    </xf>
    <xf numFmtId="0" fontId="7" fillId="0" borderId="10" xfId="0" applyFont="1" applyBorder="1" applyAlignment="1">
      <alignment horizontal="center"/>
    </xf>
    <xf numFmtId="0" fontId="18" fillId="34" borderId="0" xfId="55" applyFont="1" applyFill="1">
      <alignment/>
      <protection/>
    </xf>
    <xf numFmtId="0" fontId="18" fillId="34" borderId="0" xfId="55" applyFont="1" applyFill="1" applyBorder="1">
      <alignment/>
      <protection/>
    </xf>
    <xf numFmtId="4" fontId="7" fillId="34" borderId="0" xfId="0" applyNumberFormat="1" applyFont="1" applyFill="1" applyAlignment="1">
      <alignment/>
    </xf>
    <xf numFmtId="191" fontId="7" fillId="0" borderId="0" xfId="0" applyNumberFormat="1" applyFont="1" applyAlignment="1">
      <alignment/>
    </xf>
    <xf numFmtId="0" fontId="18" fillId="35" borderId="0" xfId="55" applyFont="1" applyFill="1">
      <alignment/>
      <protection/>
    </xf>
    <xf numFmtId="4" fontId="7" fillId="35" borderId="0" xfId="0" applyNumberFormat="1" applyFont="1" applyFill="1" applyAlignment="1">
      <alignment/>
    </xf>
    <xf numFmtId="0" fontId="7" fillId="0" borderId="0" xfId="55" applyFont="1">
      <alignment/>
      <protection/>
    </xf>
    <xf numFmtId="0" fontId="7" fillId="0" borderId="11" xfId="55" applyFont="1" applyBorder="1">
      <alignment/>
      <protection/>
    </xf>
    <xf numFmtId="4" fontId="7" fillId="0" borderId="11" xfId="0" applyNumberFormat="1" applyFont="1" applyBorder="1" applyAlignment="1">
      <alignment/>
    </xf>
    <xf numFmtId="0" fontId="18" fillId="0" borderId="0" xfId="55" applyNumberFormat="1" applyFont="1" applyAlignment="1">
      <alignment horizontal="right"/>
      <protection/>
    </xf>
    <xf numFmtId="4" fontId="19" fillId="0" borderId="0" xfId="0" applyNumberFormat="1" applyFont="1" applyAlignment="1">
      <alignment/>
    </xf>
    <xf numFmtId="4" fontId="18" fillId="0" borderId="0" xfId="55" applyNumberFormat="1" applyFont="1">
      <alignment/>
      <protection/>
    </xf>
    <xf numFmtId="4" fontId="7" fillId="0" borderId="11" xfId="55" applyNumberFormat="1" applyFont="1" applyBorder="1">
      <alignment/>
      <protection/>
    </xf>
    <xf numFmtId="49" fontId="7" fillId="34" borderId="0" xfId="55" applyNumberFormat="1" applyFont="1" applyFill="1" applyAlignment="1">
      <alignment horizontal="right"/>
      <protection/>
    </xf>
    <xf numFmtId="4" fontId="7" fillId="34" borderId="11" xfId="0" applyNumberFormat="1" applyFont="1" applyFill="1" applyBorder="1" applyAlignment="1">
      <alignment/>
    </xf>
    <xf numFmtId="49" fontId="7" fillId="0" borderId="0" xfId="55" applyNumberFormat="1" applyFont="1" applyAlignment="1">
      <alignment horizontal="right"/>
      <protection/>
    </xf>
    <xf numFmtId="0" fontId="7" fillId="0" borderId="0" xfId="55" applyFont="1" applyBorder="1" applyAlignment="1">
      <alignment horizontal="left"/>
      <protection/>
    </xf>
    <xf numFmtId="191" fontId="7" fillId="0" borderId="0" xfId="0" applyNumberFormat="1" applyFont="1" applyBorder="1" applyAlignment="1">
      <alignment/>
    </xf>
    <xf numFmtId="49" fontId="18" fillId="0" borderId="0" xfId="55" applyNumberFormat="1" applyFont="1" applyAlignment="1">
      <alignment horizontal="right"/>
      <protection/>
    </xf>
    <xf numFmtId="0" fontId="7" fillId="0" borderId="10" xfId="55" applyFont="1" applyBorder="1">
      <alignment/>
      <protection/>
    </xf>
    <xf numFmtId="4" fontId="7" fillId="0" borderId="10" xfId="55" applyNumberFormat="1" applyFont="1" applyBorder="1">
      <alignment/>
      <protection/>
    </xf>
    <xf numFmtId="0" fontId="7" fillId="0" borderId="0" xfId="55" applyNumberFormat="1" applyFont="1" applyAlignment="1">
      <alignment horizontal="right"/>
      <protection/>
    </xf>
    <xf numFmtId="4" fontId="7" fillId="0" borderId="10" xfId="0" applyNumberFormat="1" applyFont="1" applyBorder="1" applyAlignment="1">
      <alignment/>
    </xf>
    <xf numFmtId="191" fontId="7" fillId="0" borderId="10" xfId="0" applyNumberFormat="1" applyFont="1" applyBorder="1" applyAlignment="1">
      <alignment/>
    </xf>
    <xf numFmtId="4" fontId="20" fillId="0" borderId="0" xfId="55" applyNumberFormat="1" applyFont="1" applyBorder="1">
      <alignment/>
      <protection/>
    </xf>
    <xf numFmtId="4" fontId="7" fillId="0" borderId="0" xfId="55" applyNumberFormat="1" applyFont="1" applyBorder="1">
      <alignment/>
      <protection/>
    </xf>
    <xf numFmtId="4" fontId="21" fillId="0" borderId="0" xfId="0" applyNumberFormat="1" applyFont="1" applyBorder="1" applyAlignment="1">
      <alignment/>
    </xf>
    <xf numFmtId="0" fontId="7" fillId="34" borderId="0" xfId="55" applyNumberFormat="1" applyFont="1" applyFill="1" applyAlignment="1">
      <alignment horizontal="right"/>
      <protection/>
    </xf>
    <xf numFmtId="4" fontId="18" fillId="0" borderId="0" xfId="55" applyNumberFormat="1" applyFont="1" applyBorder="1">
      <alignment/>
      <protection/>
    </xf>
    <xf numFmtId="0" fontId="7" fillId="0" borderId="10" xfId="0" applyFont="1" applyBorder="1" applyAlignment="1">
      <alignment/>
    </xf>
    <xf numFmtId="0" fontId="18" fillId="0" borderId="0" xfId="0" applyNumberFormat="1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0" xfId="55" applyNumberFormat="1" applyFont="1" applyBorder="1" applyAlignment="1">
      <alignment horizontal="right"/>
      <protection/>
    </xf>
    <xf numFmtId="0" fontId="18" fillId="0" borderId="0" xfId="55" applyNumberFormat="1" applyFont="1" applyBorder="1" applyAlignment="1">
      <alignment horizontal="right"/>
      <protection/>
    </xf>
    <xf numFmtId="0" fontId="18" fillId="0" borderId="0" xfId="0" applyFont="1" applyAlignment="1">
      <alignment horizontal="right"/>
    </xf>
    <xf numFmtId="49" fontId="18" fillId="0" borderId="0" xfId="55" applyNumberFormat="1" applyFont="1" applyBorder="1" applyAlignment="1">
      <alignment horizontal="right"/>
      <protection/>
    </xf>
    <xf numFmtId="0" fontId="7" fillId="35" borderId="0" xfId="0" applyFont="1" applyFill="1" applyAlignment="1">
      <alignment/>
    </xf>
    <xf numFmtId="191" fontId="7" fillId="0" borderId="0" xfId="55" applyNumberFormat="1" applyFont="1" applyBorder="1">
      <alignment/>
      <protection/>
    </xf>
    <xf numFmtId="4" fontId="20" fillId="0" borderId="0" xfId="55" applyNumberFormat="1" applyFont="1">
      <alignment/>
      <protection/>
    </xf>
    <xf numFmtId="0" fontId="7" fillId="33" borderId="0" xfId="0" applyFont="1" applyFill="1" applyAlignment="1">
      <alignment horizontal="center"/>
    </xf>
    <xf numFmtId="0" fontId="7" fillId="33" borderId="12" xfId="0" applyFont="1" applyFill="1" applyBorder="1" applyAlignment="1">
      <alignment/>
    </xf>
    <xf numFmtId="0" fontId="20" fillId="0" borderId="0" xfId="55" applyFont="1">
      <alignment/>
      <protection/>
    </xf>
    <xf numFmtId="0" fontId="21" fillId="0" borderId="0" xfId="0" applyFont="1" applyAlignment="1">
      <alignment horizontal="centerContinuous"/>
    </xf>
    <xf numFmtId="4" fontId="4" fillId="0" borderId="10" xfId="55" applyNumberFormat="1" applyFont="1" applyBorder="1">
      <alignment/>
      <protection/>
    </xf>
    <xf numFmtId="4" fontId="4" fillId="0" borderId="10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4" fontId="19" fillId="0" borderId="0" xfId="55" applyNumberFormat="1" applyFont="1" applyBorder="1">
      <alignment/>
      <protection/>
    </xf>
    <xf numFmtId="4" fontId="4" fillId="0" borderId="0" xfId="0" applyNumberFormat="1" applyFont="1" applyBorder="1" applyAlignment="1">
      <alignment/>
    </xf>
    <xf numFmtId="191" fontId="20" fillId="0" borderId="0" xfId="0" applyNumberFormat="1" applyFont="1" applyAlignment="1">
      <alignment/>
    </xf>
    <xf numFmtId="4" fontId="4" fillId="35" borderId="11" xfId="0" applyNumberFormat="1" applyFont="1" applyFill="1" applyBorder="1" applyAlignment="1">
      <alignment/>
    </xf>
    <xf numFmtId="0" fontId="18" fillId="36" borderId="0" xfId="0" applyFont="1" applyFill="1" applyAlignment="1">
      <alignment/>
    </xf>
    <xf numFmtId="0" fontId="0" fillId="14" borderId="0" xfId="0" applyFont="1" applyFill="1" applyBorder="1" applyAlignment="1">
      <alignment/>
    </xf>
    <xf numFmtId="0" fontId="0" fillId="14" borderId="13" xfId="0" applyFont="1" applyFill="1" applyBorder="1" applyAlignment="1">
      <alignment/>
    </xf>
    <xf numFmtId="0" fontId="5" fillId="14" borderId="0" xfId="0" applyFont="1" applyFill="1" applyBorder="1" applyAlignment="1">
      <alignment/>
    </xf>
    <xf numFmtId="0" fontId="0" fillId="14" borderId="14" xfId="0" applyFont="1" applyFill="1" applyBorder="1" applyAlignment="1">
      <alignment/>
    </xf>
    <xf numFmtId="0" fontId="2" fillId="14" borderId="15" xfId="0" applyFont="1" applyFill="1" applyBorder="1" applyAlignment="1">
      <alignment horizontal="left"/>
    </xf>
    <xf numFmtId="0" fontId="2" fillId="14" borderId="16" xfId="0" applyFont="1" applyFill="1" applyBorder="1" applyAlignment="1">
      <alignment horizontal="left"/>
    </xf>
    <xf numFmtId="0" fontId="1" fillId="14" borderId="16" xfId="0" applyFont="1" applyFill="1" applyBorder="1" applyAlignment="1">
      <alignment/>
    </xf>
    <xf numFmtId="0" fontId="1" fillId="14" borderId="17" xfId="0" applyFont="1" applyFill="1" applyBorder="1" applyAlignment="1">
      <alignment/>
    </xf>
    <xf numFmtId="49" fontId="2" fillId="14" borderId="13" xfId="0" applyNumberFormat="1" applyFont="1" applyFill="1" applyBorder="1" applyAlignment="1">
      <alignment horizontal="left"/>
    </xf>
    <xf numFmtId="0" fontId="2" fillId="14" borderId="13" xfId="0" applyFont="1" applyFill="1" applyBorder="1" applyAlignment="1">
      <alignment horizontal="left"/>
    </xf>
    <xf numFmtId="0" fontId="1" fillId="14" borderId="18" xfId="0" applyFont="1" applyFill="1" applyBorder="1" applyAlignment="1">
      <alignment/>
    </xf>
    <xf numFmtId="0" fontId="15" fillId="14" borderId="0" xfId="0" applyFont="1" applyFill="1" applyBorder="1" applyAlignment="1">
      <alignment horizontal="centerContinuous" vertical="center"/>
    </xf>
    <xf numFmtId="0" fontId="1" fillId="14" borderId="0" xfId="0" applyFont="1" applyFill="1" applyBorder="1" applyAlignment="1">
      <alignment/>
    </xf>
    <xf numFmtId="0" fontId="15" fillId="14" borderId="0" xfId="0" applyFont="1" applyFill="1" applyBorder="1" applyAlignment="1">
      <alignment horizontal="center"/>
    </xf>
    <xf numFmtId="0" fontId="14" fillId="14" borderId="0" xfId="0" applyFont="1" applyFill="1" applyBorder="1" applyAlignment="1">
      <alignment horizontal="center"/>
    </xf>
    <xf numFmtId="0" fontId="2" fillId="14" borderId="0" xfId="0" applyFont="1" applyFill="1" applyBorder="1" applyAlignment="1">
      <alignment horizontal="left"/>
    </xf>
    <xf numFmtId="0" fontId="1" fillId="14" borderId="13" xfId="0" applyFont="1" applyFill="1" applyBorder="1" applyAlignment="1">
      <alignment horizontal="left"/>
    </xf>
    <xf numFmtId="172" fontId="0" fillId="14" borderId="0" xfId="0" applyNumberFormat="1" applyFont="1" applyFill="1" applyBorder="1" applyAlignment="1">
      <alignment/>
    </xf>
    <xf numFmtId="172" fontId="1" fillId="14" borderId="0" xfId="0" applyNumberFormat="1" applyFont="1" applyFill="1" applyBorder="1" applyAlignment="1">
      <alignment/>
    </xf>
    <xf numFmtId="172" fontId="5" fillId="14" borderId="0" xfId="0" applyNumberFormat="1" applyFont="1" applyFill="1" applyBorder="1" applyAlignment="1">
      <alignment/>
    </xf>
    <xf numFmtId="4" fontId="0" fillId="14" borderId="0" xfId="0" applyNumberFormat="1" applyFont="1" applyFill="1" applyBorder="1" applyAlignment="1">
      <alignment horizontal="center"/>
    </xf>
    <xf numFmtId="4" fontId="2" fillId="14" borderId="16" xfId="0" applyNumberFormat="1" applyFont="1" applyFill="1" applyBorder="1" applyAlignment="1">
      <alignment horizontal="center"/>
    </xf>
    <xf numFmtId="172" fontId="14" fillId="14" borderId="0" xfId="0" applyNumberFormat="1" applyFont="1" applyFill="1" applyBorder="1" applyAlignment="1">
      <alignment horizontal="right"/>
    </xf>
    <xf numFmtId="0" fontId="1" fillId="14" borderId="0" xfId="0" applyFont="1" applyFill="1" applyBorder="1" applyAlignment="1">
      <alignment horizontal="center"/>
    </xf>
    <xf numFmtId="172" fontId="2" fillId="14" borderId="0" xfId="0" applyNumberFormat="1" applyFont="1" applyFill="1" applyBorder="1" applyAlignment="1">
      <alignment/>
    </xf>
    <xf numFmtId="0" fontId="1" fillId="14" borderId="0" xfId="0" applyFont="1" applyFill="1" applyBorder="1" applyAlignment="1">
      <alignment horizontal="left"/>
    </xf>
    <xf numFmtId="172" fontId="0" fillId="14" borderId="0" xfId="0" applyNumberFormat="1" applyFont="1" applyFill="1" applyBorder="1" applyAlignment="1">
      <alignment horizontal="center"/>
    </xf>
    <xf numFmtId="172" fontId="5" fillId="14" borderId="0" xfId="0" applyNumberFormat="1" applyFont="1" applyFill="1" applyBorder="1" applyAlignment="1">
      <alignment/>
    </xf>
    <xf numFmtId="0" fontId="0" fillId="14" borderId="0" xfId="0" applyFont="1" applyFill="1" applyBorder="1" applyAlignment="1">
      <alignment horizontal="center"/>
    </xf>
    <xf numFmtId="172" fontId="2" fillId="14" borderId="0" xfId="0" applyNumberFormat="1" applyFont="1" applyFill="1" applyBorder="1" applyAlignment="1">
      <alignment horizontal="center"/>
    </xf>
    <xf numFmtId="0" fontId="9" fillId="14" borderId="0" xfId="0" applyFont="1" applyFill="1" applyBorder="1" applyAlignment="1">
      <alignment/>
    </xf>
    <xf numFmtId="172" fontId="1" fillId="14" borderId="18" xfId="0" applyNumberFormat="1" applyFont="1" applyFill="1" applyBorder="1" applyAlignment="1">
      <alignment horizontal="center"/>
    </xf>
    <xf numFmtId="0" fontId="5" fillId="14" borderId="0" xfId="0" applyFont="1" applyFill="1" applyBorder="1" applyAlignment="1">
      <alignment/>
    </xf>
    <xf numFmtId="172" fontId="2" fillId="14" borderId="19" xfId="0" applyNumberFormat="1" applyFont="1" applyFill="1" applyBorder="1" applyAlignment="1">
      <alignment/>
    </xf>
    <xf numFmtId="172" fontId="1" fillId="14" borderId="20" xfId="0" applyNumberFormat="1" applyFont="1" applyFill="1" applyBorder="1" applyAlignment="1">
      <alignment horizontal="center"/>
    </xf>
    <xf numFmtId="49" fontId="2" fillId="14" borderId="15" xfId="0" applyNumberFormat="1" applyFont="1" applyFill="1" applyBorder="1" applyAlignment="1">
      <alignment horizontal="left"/>
    </xf>
    <xf numFmtId="49" fontId="1" fillId="14" borderId="17" xfId="0" applyNumberFormat="1" applyFont="1" applyFill="1" applyBorder="1" applyAlignment="1">
      <alignment/>
    </xf>
    <xf numFmtId="172" fontId="15" fillId="14" borderId="0" xfId="0" applyNumberFormat="1" applyFont="1" applyFill="1" applyBorder="1" applyAlignment="1">
      <alignment horizontal="center"/>
    </xf>
    <xf numFmtId="4" fontId="2" fillId="14" borderId="0" xfId="0" applyNumberFormat="1" applyFont="1" applyFill="1" applyBorder="1" applyAlignment="1">
      <alignment/>
    </xf>
    <xf numFmtId="172" fontId="2" fillId="14" borderId="0" xfId="0" applyNumberFormat="1" applyFont="1" applyFill="1" applyBorder="1" applyAlignment="1">
      <alignment/>
    </xf>
    <xf numFmtId="172" fontId="4" fillId="14" borderId="0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191" fontId="7" fillId="0" borderId="10" xfId="0" applyNumberFormat="1" applyFont="1" applyBorder="1" applyAlignment="1">
      <alignment horizontal="center"/>
    </xf>
    <xf numFmtId="0" fontId="5" fillId="35" borderId="11" xfId="0" applyFont="1" applyFill="1" applyBorder="1" applyAlignment="1">
      <alignment/>
    </xf>
    <xf numFmtId="0" fontId="5" fillId="34" borderId="11" xfId="55" applyFont="1" applyFill="1" applyBorder="1">
      <alignment/>
      <protection/>
    </xf>
    <xf numFmtId="0" fontId="5" fillId="34" borderId="11" xfId="55" applyFont="1" applyFill="1" applyBorder="1" applyAlignment="1">
      <alignment horizontal="left"/>
      <protection/>
    </xf>
    <xf numFmtId="188" fontId="0" fillId="0" borderId="0" xfId="0" applyNumberFormat="1" applyFont="1" applyAlignment="1">
      <alignment/>
    </xf>
    <xf numFmtId="0" fontId="7" fillId="37" borderId="0" xfId="55" applyNumberFormat="1" applyFont="1" applyFill="1" applyBorder="1" applyAlignment="1">
      <alignment horizontal="right"/>
      <protection/>
    </xf>
    <xf numFmtId="0" fontId="18" fillId="37" borderId="0" xfId="55" applyNumberFormat="1" applyFont="1" applyFill="1" applyBorder="1" applyAlignment="1">
      <alignment horizontal="right"/>
      <protection/>
    </xf>
    <xf numFmtId="0" fontId="18" fillId="37" borderId="0" xfId="55" applyFont="1" applyFill="1" applyBorder="1">
      <alignment/>
      <protection/>
    </xf>
    <xf numFmtId="0" fontId="5" fillId="37" borderId="0" xfId="0" applyFont="1" applyFill="1" applyBorder="1" applyAlignment="1">
      <alignment/>
    </xf>
    <xf numFmtId="4" fontId="4" fillId="37" borderId="0" xfId="0" applyNumberFormat="1" applyFont="1" applyFill="1" applyBorder="1" applyAlignment="1">
      <alignment/>
    </xf>
    <xf numFmtId="4" fontId="19" fillId="37" borderId="0" xfId="55" applyNumberFormat="1" applyFont="1" applyFill="1" applyBorder="1">
      <alignment/>
      <protection/>
    </xf>
    <xf numFmtId="4" fontId="20" fillId="37" borderId="0" xfId="55" applyNumberFormat="1" applyFont="1" applyFill="1" applyBorder="1">
      <alignment/>
      <protection/>
    </xf>
    <xf numFmtId="4" fontId="18" fillId="37" borderId="0" xfId="55" applyNumberFormat="1" applyFont="1" applyFill="1" applyBorder="1">
      <alignment/>
      <protection/>
    </xf>
    <xf numFmtId="4" fontId="18" fillId="37" borderId="0" xfId="0" applyNumberFormat="1" applyFont="1" applyFill="1" applyBorder="1" applyAlignment="1">
      <alignment/>
    </xf>
    <xf numFmtId="4" fontId="7" fillId="37" borderId="0" xfId="0" applyNumberFormat="1" applyFont="1" applyFill="1" applyBorder="1" applyAlignment="1">
      <alignment/>
    </xf>
    <xf numFmtId="4" fontId="20" fillId="37" borderId="0" xfId="0" applyNumberFormat="1" applyFont="1" applyFill="1" applyBorder="1" applyAlignment="1">
      <alignment/>
    </xf>
    <xf numFmtId="191" fontId="18" fillId="37" borderId="0" xfId="0" applyNumberFormat="1" applyFont="1" applyFill="1" applyBorder="1" applyAlignment="1">
      <alignment/>
    </xf>
    <xf numFmtId="4" fontId="19" fillId="37" borderId="0" xfId="0" applyNumberFormat="1" applyFont="1" applyFill="1" applyAlignment="1">
      <alignment/>
    </xf>
    <xf numFmtId="4" fontId="18" fillId="37" borderId="0" xfId="0" applyNumberFormat="1" applyFont="1" applyFill="1" applyAlignment="1">
      <alignment/>
    </xf>
    <xf numFmtId="0" fontId="5" fillId="14" borderId="0" xfId="0" applyFont="1" applyFill="1" applyBorder="1" applyAlignment="1">
      <alignment horizontal="center"/>
    </xf>
    <xf numFmtId="4" fontId="5" fillId="14" borderId="0" xfId="0" applyNumberFormat="1" applyFont="1" applyFill="1" applyBorder="1" applyAlignment="1">
      <alignment horizontal="center"/>
    </xf>
    <xf numFmtId="0" fontId="3" fillId="14" borderId="0" xfId="0" applyFont="1" applyFill="1" applyBorder="1" applyAlignment="1">
      <alignment horizontal="center" vertical="center"/>
    </xf>
    <xf numFmtId="0" fontId="0" fillId="14" borderId="18" xfId="0" applyFont="1" applyFill="1" applyBorder="1" applyAlignment="1">
      <alignment/>
    </xf>
    <xf numFmtId="0" fontId="63" fillId="14" borderId="16" xfId="0" applyFont="1" applyFill="1" applyBorder="1" applyAlignment="1">
      <alignment/>
    </xf>
    <xf numFmtId="0" fontId="64" fillId="14" borderId="0" xfId="0" applyFont="1" applyFill="1" applyBorder="1" applyAlignment="1">
      <alignment horizontal="center" vertical="center"/>
    </xf>
    <xf numFmtId="0" fontId="65" fillId="14" borderId="0" xfId="0" applyFont="1" applyFill="1" applyBorder="1" applyAlignment="1">
      <alignment horizontal="center"/>
    </xf>
    <xf numFmtId="0" fontId="63" fillId="14" borderId="0" xfId="0" applyFont="1" applyFill="1" applyBorder="1" applyAlignment="1">
      <alignment/>
    </xf>
    <xf numFmtId="4" fontId="63" fillId="14" borderId="0" xfId="0" applyNumberFormat="1" applyFont="1" applyFill="1" applyBorder="1" applyAlignment="1">
      <alignment/>
    </xf>
    <xf numFmtId="4" fontId="66" fillId="14" borderId="16" xfId="0" applyNumberFormat="1" applyFont="1" applyFill="1" applyBorder="1" applyAlignment="1">
      <alignment/>
    </xf>
    <xf numFmtId="4" fontId="63" fillId="14" borderId="0" xfId="0" applyNumberFormat="1" applyFont="1" applyFill="1" applyBorder="1" applyAlignment="1">
      <alignment/>
    </xf>
    <xf numFmtId="172" fontId="66" fillId="14" borderId="0" xfId="0" applyNumberFormat="1" applyFont="1" applyFill="1" applyBorder="1" applyAlignment="1">
      <alignment/>
    </xf>
    <xf numFmtId="172" fontId="66" fillId="14" borderId="0" xfId="0" applyNumberFormat="1" applyFont="1" applyFill="1" applyBorder="1" applyAlignment="1">
      <alignment horizontal="center"/>
    </xf>
    <xf numFmtId="0" fontId="66" fillId="14" borderId="0" xfId="0" applyFont="1" applyFill="1" applyBorder="1" applyAlignment="1">
      <alignment/>
    </xf>
    <xf numFmtId="4" fontId="65" fillId="14" borderId="0" xfId="0" applyNumberFormat="1" applyFont="1" applyFill="1" applyBorder="1" applyAlignment="1">
      <alignment horizontal="center"/>
    </xf>
    <xf numFmtId="4" fontId="66" fillId="14" borderId="0" xfId="0" applyNumberFormat="1" applyFont="1" applyFill="1" applyBorder="1" applyAlignment="1">
      <alignment/>
    </xf>
    <xf numFmtId="172" fontId="63" fillId="14" borderId="0" xfId="0" applyNumberFormat="1" applyFont="1" applyFill="1" applyBorder="1" applyAlignment="1">
      <alignment/>
    </xf>
    <xf numFmtId="0" fontId="63" fillId="0" borderId="0" xfId="0" applyFont="1" applyAlignment="1">
      <alignment/>
    </xf>
    <xf numFmtId="172" fontId="1" fillId="14" borderId="21" xfId="0" applyNumberFormat="1" applyFont="1" applyFill="1" applyBorder="1" applyAlignment="1">
      <alignment/>
    </xf>
    <xf numFmtId="172" fontId="2" fillId="14" borderId="21" xfId="0" applyNumberFormat="1" applyFont="1" applyFill="1" applyBorder="1" applyAlignment="1">
      <alignment/>
    </xf>
    <xf numFmtId="4" fontId="63" fillId="14" borderId="21" xfId="0" applyNumberFormat="1" applyFont="1" applyFill="1" applyBorder="1" applyAlignment="1">
      <alignment/>
    </xf>
    <xf numFmtId="4" fontId="0" fillId="14" borderId="21" xfId="0" applyNumberFormat="1" applyFont="1" applyFill="1" applyBorder="1" applyAlignment="1">
      <alignment horizontal="center"/>
    </xf>
    <xf numFmtId="4" fontId="66" fillId="14" borderId="21" xfId="0" applyNumberFormat="1" applyFont="1" applyFill="1" applyBorder="1" applyAlignment="1">
      <alignment/>
    </xf>
    <xf numFmtId="4" fontId="0" fillId="14" borderId="21" xfId="0" applyNumberFormat="1" applyFont="1" applyFill="1" applyBorder="1" applyAlignment="1">
      <alignment horizontal="center"/>
    </xf>
    <xf numFmtId="4" fontId="5" fillId="14" borderId="21" xfId="0" applyNumberFormat="1" applyFont="1" applyFill="1" applyBorder="1" applyAlignment="1">
      <alignment horizontal="center"/>
    </xf>
    <xf numFmtId="4" fontId="2" fillId="14" borderId="0" xfId="0" applyNumberFormat="1" applyFont="1" applyFill="1" applyBorder="1" applyAlignment="1">
      <alignment horizontal="center"/>
    </xf>
    <xf numFmtId="4" fontId="63" fillId="14" borderId="22" xfId="0" applyNumberFormat="1" applyFont="1" applyFill="1" applyBorder="1" applyAlignment="1">
      <alignment/>
    </xf>
    <xf numFmtId="172" fontId="2" fillId="14" borderId="23" xfId="0" applyNumberFormat="1" applyFont="1" applyFill="1" applyBorder="1" applyAlignment="1">
      <alignment/>
    </xf>
    <xf numFmtId="4" fontId="66" fillId="14" borderId="16" xfId="0" applyNumberFormat="1" applyFont="1" applyFill="1" applyBorder="1" applyAlignment="1">
      <alignment/>
    </xf>
    <xf numFmtId="4" fontId="5" fillId="14" borderId="23" xfId="0" applyNumberFormat="1" applyFont="1" applyFill="1" applyBorder="1" applyAlignment="1">
      <alignment horizontal="center"/>
    </xf>
    <xf numFmtId="4" fontId="66" fillId="14" borderId="10" xfId="0" applyNumberFormat="1" applyFont="1" applyFill="1" applyBorder="1" applyAlignment="1">
      <alignment/>
    </xf>
    <xf numFmtId="4" fontId="5" fillId="14" borderId="10" xfId="0" applyNumberFormat="1" applyFont="1" applyFill="1" applyBorder="1" applyAlignment="1">
      <alignment horizontal="center"/>
    </xf>
    <xf numFmtId="4" fontId="0" fillId="14" borderId="22" xfId="0" applyNumberFormat="1" applyFont="1" applyFill="1" applyBorder="1" applyAlignment="1">
      <alignment horizontal="center"/>
    </xf>
    <xf numFmtId="4" fontId="5" fillId="14" borderId="10" xfId="0" applyNumberFormat="1" applyFont="1" applyFill="1" applyBorder="1" applyAlignment="1">
      <alignment horizontal="center"/>
    </xf>
    <xf numFmtId="0" fontId="1" fillId="14" borderId="18" xfId="0" applyFont="1" applyFill="1" applyBorder="1" applyAlignment="1">
      <alignment/>
    </xf>
    <xf numFmtId="4" fontId="66" fillId="14" borderId="0" xfId="0" applyNumberFormat="1" applyFont="1" applyFill="1" applyBorder="1" applyAlignment="1">
      <alignment horizontal="center"/>
    </xf>
    <xf numFmtId="172" fontId="67" fillId="14" borderId="21" xfId="0" applyNumberFormat="1" applyFont="1" applyFill="1" applyBorder="1" applyAlignment="1">
      <alignment/>
    </xf>
    <xf numFmtId="172" fontId="2" fillId="14" borderId="21" xfId="0" applyNumberFormat="1" applyFont="1" applyFill="1" applyBorder="1" applyAlignment="1">
      <alignment horizontal="center"/>
    </xf>
    <xf numFmtId="172" fontId="63" fillId="14" borderId="21" xfId="0" applyNumberFormat="1" applyFont="1" applyFill="1" applyBorder="1" applyAlignment="1">
      <alignment/>
    </xf>
    <xf numFmtId="172" fontId="1" fillId="14" borderId="21" xfId="0" applyNumberFormat="1" applyFont="1" applyFill="1" applyBorder="1" applyAlignment="1">
      <alignment/>
    </xf>
    <xf numFmtId="172" fontId="1" fillId="14" borderId="18" xfId="0" applyNumberFormat="1" applyFont="1" applyFill="1" applyBorder="1" applyAlignment="1">
      <alignment/>
    </xf>
    <xf numFmtId="172" fontId="63" fillId="14" borderId="22" xfId="0" applyNumberFormat="1" applyFont="1" applyFill="1" applyBorder="1" applyAlignment="1">
      <alignment/>
    </xf>
    <xf numFmtId="172" fontId="66" fillId="14" borderId="21" xfId="0" applyNumberFormat="1" applyFont="1" applyFill="1" applyBorder="1" applyAlignment="1">
      <alignment/>
    </xf>
    <xf numFmtId="172" fontId="66" fillId="14" borderId="22" xfId="0" applyNumberFormat="1" applyFont="1" applyFill="1" applyBorder="1" applyAlignment="1">
      <alignment/>
    </xf>
    <xf numFmtId="172" fontId="1" fillId="14" borderId="22" xfId="0" applyNumberFormat="1" applyFont="1" applyFill="1" applyBorder="1" applyAlignment="1">
      <alignment/>
    </xf>
    <xf numFmtId="172" fontId="2" fillId="14" borderId="22" xfId="0" applyNumberFormat="1" applyFont="1" applyFill="1" applyBorder="1" applyAlignment="1">
      <alignment/>
    </xf>
    <xf numFmtId="172" fontId="2" fillId="14" borderId="21" xfId="0" applyNumberFormat="1" applyFont="1" applyFill="1" applyBorder="1" applyAlignment="1">
      <alignment horizontal="left"/>
    </xf>
    <xf numFmtId="172" fontId="2" fillId="14" borderId="21" xfId="0" applyNumberFormat="1" applyFont="1" applyFill="1" applyBorder="1" applyAlignment="1">
      <alignment horizontal="center"/>
    </xf>
    <xf numFmtId="4" fontId="66" fillId="14" borderId="21" xfId="0" applyNumberFormat="1" applyFont="1" applyFill="1" applyBorder="1" applyAlignment="1">
      <alignment/>
    </xf>
    <xf numFmtId="4" fontId="66" fillId="14" borderId="24" xfId="0" applyNumberFormat="1" applyFont="1" applyFill="1" applyBorder="1" applyAlignment="1">
      <alignment/>
    </xf>
    <xf numFmtId="4" fontId="2" fillId="14" borderId="24" xfId="0" applyNumberFormat="1" applyFont="1" applyFill="1" applyBorder="1" applyAlignment="1">
      <alignment/>
    </xf>
    <xf numFmtId="172" fontId="1" fillId="14" borderId="24" xfId="0" applyNumberFormat="1" applyFont="1" applyFill="1" applyBorder="1" applyAlignment="1">
      <alignment/>
    </xf>
    <xf numFmtId="49" fontId="1" fillId="14" borderId="18" xfId="0" applyNumberFormat="1" applyFont="1" applyFill="1" applyBorder="1" applyAlignment="1">
      <alignment/>
    </xf>
    <xf numFmtId="0" fontId="14" fillId="14" borderId="18" xfId="0" applyFont="1" applyFill="1" applyBorder="1" applyAlignment="1">
      <alignment horizontal="center"/>
    </xf>
    <xf numFmtId="0" fontId="2" fillId="14" borderId="18" xfId="0" applyFont="1" applyFill="1" applyBorder="1" applyAlignment="1">
      <alignment/>
    </xf>
    <xf numFmtId="172" fontId="1" fillId="14" borderId="18" xfId="0" applyNumberFormat="1" applyFont="1" applyFill="1" applyBorder="1" applyAlignment="1">
      <alignment horizontal="center"/>
    </xf>
    <xf numFmtId="172" fontId="2" fillId="14" borderId="18" xfId="0" applyNumberFormat="1" applyFont="1" applyFill="1" applyBorder="1" applyAlignment="1">
      <alignment/>
    </xf>
    <xf numFmtId="172" fontId="68" fillId="14" borderId="0" xfId="0" applyNumberFormat="1" applyFont="1" applyFill="1" applyBorder="1" applyAlignment="1">
      <alignment/>
    </xf>
    <xf numFmtId="4" fontId="0" fillId="14" borderId="25" xfId="0" applyNumberFormat="1" applyFont="1" applyFill="1" applyBorder="1" applyAlignment="1">
      <alignment/>
    </xf>
    <xf numFmtId="4" fontId="0" fillId="14" borderId="26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12" fillId="36" borderId="13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5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5" fillId="37" borderId="13" xfId="0" applyFont="1" applyFill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/>
      <protection locked="0"/>
    </xf>
    <xf numFmtId="4" fontId="10" fillId="0" borderId="0" xfId="0" applyNumberFormat="1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4" fontId="10" fillId="37" borderId="0" xfId="0" applyNumberFormat="1" applyFont="1" applyFill="1" applyBorder="1" applyAlignment="1" applyProtection="1">
      <alignment/>
      <protection locked="0"/>
    </xf>
    <xf numFmtId="4" fontId="5" fillId="37" borderId="0" xfId="0" applyNumberFormat="1" applyFont="1" applyFill="1" applyBorder="1" applyAlignment="1" applyProtection="1">
      <alignment/>
      <protection locked="0"/>
    </xf>
    <xf numFmtId="4" fontId="0" fillId="37" borderId="18" xfId="0" applyNumberFormat="1" applyFont="1" applyFill="1" applyBorder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5" fillId="0" borderId="27" xfId="0" applyNumberFormat="1" applyFont="1" applyBorder="1" applyAlignment="1" applyProtection="1">
      <alignment/>
      <protection locked="0"/>
    </xf>
    <xf numFmtId="4" fontId="0" fillId="0" borderId="27" xfId="0" applyNumberFormat="1" applyFont="1" applyBorder="1" applyAlignment="1" applyProtection="1">
      <alignment/>
      <protection locked="0"/>
    </xf>
    <xf numFmtId="4" fontId="5" fillId="0" borderId="28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4" fontId="0" fillId="0" borderId="20" xfId="0" applyNumberFormat="1" applyFont="1" applyBorder="1" applyAlignment="1" applyProtection="1">
      <alignment/>
      <protection locked="0"/>
    </xf>
    <xf numFmtId="4" fontId="5" fillId="38" borderId="0" xfId="0" applyNumberFormat="1" applyFont="1" applyFill="1" applyBorder="1" applyAlignment="1" applyProtection="1">
      <alignment/>
      <protection locked="0"/>
    </xf>
    <xf numFmtId="4" fontId="7" fillId="38" borderId="0" xfId="0" applyNumberFormat="1" applyFont="1" applyFill="1" applyAlignment="1" applyProtection="1">
      <alignment/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4" fontId="5" fillId="28" borderId="0" xfId="0" applyNumberFormat="1" applyFont="1" applyFill="1" applyBorder="1" applyAlignment="1" applyProtection="1">
      <alignment/>
      <protection locked="0"/>
    </xf>
    <xf numFmtId="4" fontId="5" fillId="37" borderId="18" xfId="0" applyNumberFormat="1" applyFont="1" applyFill="1" applyBorder="1" applyAlignment="1" applyProtection="1">
      <alignment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4" fontId="7" fillId="37" borderId="0" xfId="0" applyNumberFormat="1" applyFont="1" applyFill="1" applyAlignment="1" applyProtection="1">
      <alignment/>
      <protection locked="0"/>
    </xf>
    <xf numFmtId="191" fontId="10" fillId="37" borderId="0" xfId="0" applyNumberFormat="1" applyFont="1" applyFill="1" applyBorder="1" applyAlignment="1" applyProtection="1">
      <alignment/>
      <protection locked="0"/>
    </xf>
    <xf numFmtId="4" fontId="5" fillId="23" borderId="0" xfId="0" applyNumberFormat="1" applyFont="1" applyFill="1" applyBorder="1" applyAlignment="1" applyProtection="1">
      <alignment/>
      <protection locked="0"/>
    </xf>
    <xf numFmtId="4" fontId="7" fillId="39" borderId="0" xfId="0" applyNumberFormat="1" applyFont="1" applyFill="1" applyAlignment="1" applyProtection="1">
      <alignment/>
      <protection locked="0"/>
    </xf>
    <xf numFmtId="4" fontId="5" fillId="40" borderId="0" xfId="0" applyNumberFormat="1" applyFont="1" applyFill="1" applyBorder="1" applyAlignment="1" applyProtection="1">
      <alignment/>
      <protection locked="0"/>
    </xf>
    <xf numFmtId="4" fontId="7" fillId="40" borderId="0" xfId="0" applyNumberFormat="1" applyFont="1" applyFill="1" applyAlignment="1" applyProtection="1">
      <alignment/>
      <protection locked="0"/>
    </xf>
    <xf numFmtId="4" fontId="5" fillId="0" borderId="0" xfId="0" applyNumberFormat="1" applyFont="1" applyFill="1" applyBorder="1" applyAlignment="1" applyProtection="1">
      <alignment/>
      <protection locked="0"/>
    </xf>
    <xf numFmtId="4" fontId="0" fillId="0" borderId="18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37" borderId="0" xfId="0" applyFont="1" applyFill="1" applyAlignment="1" applyProtection="1">
      <alignment/>
      <protection locked="0"/>
    </xf>
    <xf numFmtId="4" fontId="0" fillId="0" borderId="27" xfId="0" applyNumberFormat="1" applyFont="1" applyFill="1" applyBorder="1" applyAlignment="1" applyProtection="1">
      <alignment/>
      <protection locked="0"/>
    </xf>
    <xf numFmtId="4" fontId="5" fillId="0" borderId="27" xfId="0" applyNumberFormat="1" applyFont="1" applyFill="1" applyBorder="1" applyAlignment="1" applyProtection="1">
      <alignment/>
      <protection locked="0"/>
    </xf>
    <xf numFmtId="4" fontId="5" fillId="0" borderId="28" xfId="0" applyNumberFormat="1" applyFont="1" applyFill="1" applyBorder="1" applyAlignment="1" applyProtection="1">
      <alignment/>
      <protection locked="0"/>
    </xf>
    <xf numFmtId="4" fontId="0" fillId="37" borderId="0" xfId="0" applyNumberFormat="1" applyFont="1" applyFill="1" applyAlignment="1" applyProtection="1">
      <alignment/>
      <protection locked="0"/>
    </xf>
    <xf numFmtId="4" fontId="11" fillId="37" borderId="0" xfId="0" applyNumberFormat="1" applyFont="1" applyFill="1" applyBorder="1" applyAlignment="1" applyProtection="1">
      <alignment/>
      <protection locked="0"/>
    </xf>
    <xf numFmtId="4" fontId="5" fillId="0" borderId="0" xfId="0" applyNumberFormat="1" applyFont="1" applyAlignment="1" applyProtection="1">
      <alignment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/>
      <protection locked="0"/>
    </xf>
    <xf numFmtId="4" fontId="5" fillId="41" borderId="0" xfId="0" applyNumberFormat="1" applyFont="1" applyFill="1" applyBorder="1" applyAlignment="1" applyProtection="1">
      <alignment/>
      <protection locked="0"/>
    </xf>
    <xf numFmtId="4" fontId="5" fillId="0" borderId="18" xfId="0" applyNumberFormat="1" applyFont="1" applyFill="1" applyBorder="1" applyAlignment="1" applyProtection="1">
      <alignment/>
      <protection locked="0"/>
    </xf>
    <xf numFmtId="4" fontId="5" fillId="25" borderId="0" xfId="0" applyNumberFormat="1" applyFont="1" applyFill="1" applyBorder="1" applyAlignment="1" applyProtection="1">
      <alignment/>
      <protection locked="0"/>
    </xf>
    <xf numFmtId="4" fontId="69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172" fontId="2" fillId="14" borderId="21" xfId="0" applyNumberFormat="1" applyFont="1" applyFill="1" applyBorder="1" applyAlignment="1">
      <alignment horizontal="center" vertical="top"/>
    </xf>
    <xf numFmtId="0" fontId="9" fillId="14" borderId="0" xfId="0" applyFont="1" applyFill="1" applyBorder="1" applyAlignment="1">
      <alignment vertical="top"/>
    </xf>
    <xf numFmtId="172" fontId="2" fillId="14" borderId="29" xfId="0" applyNumberFormat="1" applyFont="1" applyFill="1" applyBorder="1" applyAlignment="1">
      <alignment horizontal="center"/>
    </xf>
    <xf numFmtId="172" fontId="2" fillId="14" borderId="30" xfId="0" applyNumberFormat="1" applyFont="1" applyFill="1" applyBorder="1" applyAlignment="1">
      <alignment horizontal="center"/>
    </xf>
    <xf numFmtId="0" fontId="5" fillId="14" borderId="0" xfId="0" applyFont="1" applyFill="1" applyBorder="1" applyAlignment="1">
      <alignment horizontal="center"/>
    </xf>
    <xf numFmtId="172" fontId="2" fillId="14" borderId="31" xfId="0" applyNumberFormat="1" applyFont="1" applyFill="1" applyBorder="1" applyAlignment="1">
      <alignment horizontal="center"/>
    </xf>
    <xf numFmtId="172" fontId="2" fillId="14" borderId="32" xfId="0" applyNumberFormat="1" applyFont="1" applyFill="1" applyBorder="1" applyAlignment="1">
      <alignment horizontal="center"/>
    </xf>
    <xf numFmtId="172" fontId="2" fillId="14" borderId="33" xfId="0" applyNumberFormat="1" applyFont="1" applyFill="1" applyBorder="1" applyAlignment="1">
      <alignment horizontal="center"/>
    </xf>
    <xf numFmtId="172" fontId="2" fillId="14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0" fontId="4" fillId="14" borderId="0" xfId="0" applyFont="1" applyFill="1" applyBorder="1" applyAlignment="1">
      <alignment horizontal="center" vertical="center"/>
    </xf>
    <xf numFmtId="172" fontId="2" fillId="14" borderId="34" xfId="0" applyNumberFormat="1" applyFont="1" applyFill="1" applyBorder="1" applyAlignment="1">
      <alignment horizontal="center"/>
    </xf>
    <xf numFmtId="172" fontId="2" fillId="14" borderId="35" xfId="0" applyNumberFormat="1" applyFont="1" applyFill="1" applyBorder="1" applyAlignment="1">
      <alignment horizontal="center"/>
    </xf>
    <xf numFmtId="172" fontId="2" fillId="14" borderId="36" xfId="0" applyNumberFormat="1" applyFont="1" applyFill="1" applyBorder="1" applyAlignment="1">
      <alignment horizontal="center"/>
    </xf>
    <xf numFmtId="172" fontId="2" fillId="14" borderId="10" xfId="0" applyNumberFormat="1" applyFont="1" applyFill="1" applyBorder="1" applyAlignment="1">
      <alignment horizontal="center"/>
    </xf>
    <xf numFmtId="172" fontId="2" fillId="14" borderId="37" xfId="0" applyNumberFormat="1" applyFont="1" applyFill="1" applyBorder="1" applyAlignment="1">
      <alignment horizontal="center"/>
    </xf>
    <xf numFmtId="4" fontId="5" fillId="14" borderId="0" xfId="0" applyNumberFormat="1" applyFont="1" applyFill="1" applyBorder="1" applyAlignment="1">
      <alignment horizontal="center"/>
    </xf>
    <xf numFmtId="172" fontId="2" fillId="14" borderId="21" xfId="0" applyNumberFormat="1" applyFont="1" applyFill="1" applyBorder="1" applyAlignment="1">
      <alignment horizontal="center"/>
    </xf>
    <xf numFmtId="49" fontId="13" fillId="14" borderId="0" xfId="0" applyNumberFormat="1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horizontal="center" vertical="center"/>
    </xf>
    <xf numFmtId="0" fontId="3" fillId="14" borderId="0" xfId="0" applyFont="1" applyFill="1" applyBorder="1" applyAlignment="1">
      <alignment horizontal="center" vertical="center"/>
    </xf>
    <xf numFmtId="172" fontId="67" fillId="14" borderId="38" xfId="0" applyNumberFormat="1" applyFont="1" applyFill="1" applyBorder="1" applyAlignment="1">
      <alignment horizontal="center" vertical="top"/>
    </xf>
    <xf numFmtId="172" fontId="67" fillId="14" borderId="39" xfId="0" applyNumberFormat="1" applyFont="1" applyFill="1" applyBorder="1" applyAlignment="1">
      <alignment horizontal="center" vertical="top"/>
    </xf>
    <xf numFmtId="172" fontId="67" fillId="14" borderId="40" xfId="0" applyNumberFormat="1" applyFont="1" applyFill="1" applyBorder="1" applyAlignment="1">
      <alignment horizontal="center" vertical="top"/>
    </xf>
    <xf numFmtId="49" fontId="13" fillId="14" borderId="16" xfId="0" applyNumberFormat="1" applyFont="1" applyFill="1" applyBorder="1" applyAlignment="1">
      <alignment horizontal="center" vertical="center"/>
    </xf>
    <xf numFmtId="172" fontId="2" fillId="14" borderId="41" xfId="0" applyNumberFormat="1" applyFont="1" applyFill="1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Hoja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'ESTADO DE RESULTADOS'!#REF!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'ESTADO DE RESULTADOS'!#REF!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'ESTADO DE RESULTADOS'!#REF!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'ESTADO DE RESULTADOS'!#REF!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v>'ESTADO DE RESULTADOS'!#REF!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'ESTADO DE RESULTADOS'!#REF!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v>'ESTADO DE RESULTADOS'!#REF!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'ESTADO DE RESULTADOS'!#REF!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7291847"/>
        <c:axId val="45864576"/>
      </c:bar3DChart>
      <c:catAx>
        <c:axId val="57291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864576"/>
        <c:crosses val="autoZero"/>
        <c:auto val="1"/>
        <c:lblOffset val="100"/>
        <c:tickLblSkip val="1"/>
        <c:noMultiLvlLbl val="0"/>
      </c:catAx>
      <c:valAx>
        <c:axId val="45864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918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'[1]ESTADO DE RESULTADOS'!#REF!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'[3]ESTADO DE RESULTADOS'!#REF!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'[1]ESTADO DE RESULTADOS'!#REF!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'[3]ESTADO DE RESULTADOS'!#REF!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v>'[1]ESTADO DE RESULTADOS'!#REF!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'[3]ESTADO DE RESULTADOS'!#REF!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v>'[1]ESTADO DE RESULTADOS'!#REF!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'[3]ESTADO DE RESULTADOS'!#REF!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0128001"/>
        <c:axId val="24043146"/>
      </c:bar3DChart>
      <c:catAx>
        <c:axId val="10128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043146"/>
        <c:crosses val="autoZero"/>
        <c:auto val="1"/>
        <c:lblOffset val="100"/>
        <c:tickLblSkip val="1"/>
        <c:noMultiLvlLbl val="0"/>
      </c:catAx>
      <c:valAx>
        <c:axId val="240431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280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'[1]ESTADO DE RESULTADOS'!#REF!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'[2]ESTADO DE RESULTADOS'!#REF!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'[1]ESTADO DE RESULTADOS'!#REF!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'[2]ESTADO DE RESULTADOS'!#REF!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v>'[1]ESTADO DE RESULTADOS'!#REF!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'[2]ESTADO DE RESULTADOS'!#REF!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v>'[1]ESTADO DE RESULTADOS'!#REF!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'[2]ESTADO DE RESULTADOS'!#REF!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5061723"/>
        <c:axId val="1337780"/>
      </c:bar3DChart>
      <c:catAx>
        <c:axId val="15061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37780"/>
        <c:crosses val="autoZero"/>
        <c:auto val="1"/>
        <c:lblOffset val="100"/>
        <c:tickLblSkip val="1"/>
        <c:noMultiLvlLbl val="0"/>
      </c:catAx>
      <c:valAx>
        <c:axId val="13377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617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'[1]ESTADO DE RESULTADOS'!#REF!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'[1]ESTADO DE RESULTADOS'!#REF!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'[1]ESTADO DE RESULTADOS'!#REF!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'[1]ESTADO DE RESULTADOS'!#REF!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v>'[1]ESTADO DE RESULTADOS'!#REF!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'[1]ESTADO DE RESULTADOS'!#REF!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v>'[1]ESTADO DE RESULTADOS'!#REF!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'[1]ESTADO DE RESULTADOS'!#REF!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12040021"/>
        <c:axId val="41251326"/>
      </c:bar3DChart>
      <c:catAx>
        <c:axId val="12040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251326"/>
        <c:crosses val="autoZero"/>
        <c:auto val="1"/>
        <c:lblOffset val="100"/>
        <c:tickLblSkip val="1"/>
        <c:noMultiLvlLbl val="0"/>
      </c:catAx>
      <c:valAx>
        <c:axId val="412513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400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'ESTADO DE RESULTADOS'!#REF!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tx>
            <c:v>'ESTADO DE RESULTADOS'!#REF!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2"/>
          <c:tx>
            <c:v>'ESTADO DE RESULTADOS'!#REF!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v>'ESTADO DE RESULTADOS'!#REF!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5717615"/>
        <c:axId val="53023080"/>
      </c:bar3DChart>
      <c:catAx>
        <c:axId val="35717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023080"/>
        <c:crosses val="autoZero"/>
        <c:auto val="1"/>
        <c:lblOffset val="100"/>
        <c:tickLblSkip val="1"/>
        <c:noMultiLvlLbl val="0"/>
      </c:catAx>
      <c:valAx>
        <c:axId val="53023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176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'[1]ESTADO DE RESULTADOS'!#REF!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tx>
            <c:v>'[1]ESTADO DE RESULTADOS'!#REF!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2"/>
          <c:tx>
            <c:v>'[1]ESTADO DE RESULTADOS'!#REF!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v>'[1]ESTADO DE RESULTADOS'!#REF!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7445673"/>
        <c:axId val="67011058"/>
      </c:bar3DChart>
      <c:catAx>
        <c:axId val="7445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7011058"/>
        <c:crosses val="autoZero"/>
        <c:auto val="1"/>
        <c:lblOffset val="100"/>
        <c:tickLblSkip val="1"/>
        <c:noMultiLvlLbl val="0"/>
      </c:catAx>
      <c:valAx>
        <c:axId val="670110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456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'[1]ESTADO DE RESULTADOS'!#REF!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tx>
            <c:v>'[1]ESTADO DE RESULTADOS'!#REF!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2"/>
          <c:tx>
            <c:v>'[1]ESTADO DE RESULTADOS'!#REF!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v>'[1]ESTADO DE RESULTADOS'!#REF!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6228611"/>
        <c:axId val="59186588"/>
      </c:bar3DChart>
      <c:catAx>
        <c:axId val="66228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186588"/>
        <c:crosses val="autoZero"/>
        <c:auto val="1"/>
        <c:lblOffset val="100"/>
        <c:tickLblSkip val="1"/>
        <c:noMultiLvlLbl val="0"/>
      </c:catAx>
      <c:valAx>
        <c:axId val="591865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286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'[1]ESTADO DE RESULTADOS'!#REF!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tx>
            <c:v>'[1]ESTADO DE RESULTADOS'!#REF!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2"/>
          <c:tx>
            <c:v>'[1]ESTADO DE RESULTADOS'!#REF!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v>'[1]ESTADO DE RESULTADOS'!#REF!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2917245"/>
        <c:axId val="29384294"/>
      </c:bar3DChart>
      <c:catAx>
        <c:axId val="62917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384294"/>
        <c:crosses val="autoZero"/>
        <c:auto val="1"/>
        <c:lblOffset val="100"/>
        <c:tickLblSkip val="1"/>
        <c:noMultiLvlLbl val="0"/>
      </c:catAx>
      <c:valAx>
        <c:axId val="293842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172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3.jpeg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65</xdr:row>
      <xdr:rowOff>0</xdr:rowOff>
    </xdr:from>
    <xdr:to>
      <xdr:col>6</xdr:col>
      <xdr:colOff>142875</xdr:colOff>
      <xdr:row>65</xdr:row>
      <xdr:rowOff>0</xdr:rowOff>
    </xdr:to>
    <xdr:graphicFrame>
      <xdr:nvGraphicFramePr>
        <xdr:cNvPr id="1" name="Chart 3"/>
        <xdr:cNvGraphicFramePr/>
      </xdr:nvGraphicFramePr>
      <xdr:xfrm>
        <a:off x="85725" y="10648950"/>
        <a:ext cx="8105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65</xdr:row>
      <xdr:rowOff>0</xdr:rowOff>
    </xdr:from>
    <xdr:to>
      <xdr:col>6</xdr:col>
      <xdr:colOff>142875</xdr:colOff>
      <xdr:row>65</xdr:row>
      <xdr:rowOff>0</xdr:rowOff>
    </xdr:to>
    <xdr:graphicFrame>
      <xdr:nvGraphicFramePr>
        <xdr:cNvPr id="2" name="Chart 8"/>
        <xdr:cNvGraphicFramePr/>
      </xdr:nvGraphicFramePr>
      <xdr:xfrm>
        <a:off x="85725" y="10648950"/>
        <a:ext cx="8105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65</xdr:row>
      <xdr:rowOff>0</xdr:rowOff>
    </xdr:from>
    <xdr:to>
      <xdr:col>6</xdr:col>
      <xdr:colOff>142875</xdr:colOff>
      <xdr:row>65</xdr:row>
      <xdr:rowOff>0</xdr:rowOff>
    </xdr:to>
    <xdr:graphicFrame>
      <xdr:nvGraphicFramePr>
        <xdr:cNvPr id="3" name="Chart 11"/>
        <xdr:cNvGraphicFramePr/>
      </xdr:nvGraphicFramePr>
      <xdr:xfrm>
        <a:off x="85725" y="10648950"/>
        <a:ext cx="8105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65</xdr:row>
      <xdr:rowOff>0</xdr:rowOff>
    </xdr:from>
    <xdr:to>
      <xdr:col>6</xdr:col>
      <xdr:colOff>142875</xdr:colOff>
      <xdr:row>65</xdr:row>
      <xdr:rowOff>0</xdr:rowOff>
    </xdr:to>
    <xdr:graphicFrame>
      <xdr:nvGraphicFramePr>
        <xdr:cNvPr id="4" name="Chart 12"/>
        <xdr:cNvGraphicFramePr/>
      </xdr:nvGraphicFramePr>
      <xdr:xfrm>
        <a:off x="85725" y="10648950"/>
        <a:ext cx="81057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</xdr:row>
      <xdr:rowOff>38100</xdr:rowOff>
    </xdr:from>
    <xdr:to>
      <xdr:col>1</xdr:col>
      <xdr:colOff>1504950</xdr:colOff>
      <xdr:row>3</xdr:row>
      <xdr:rowOff>95250</xdr:rowOff>
    </xdr:to>
    <xdr:pic>
      <xdr:nvPicPr>
        <xdr:cNvPr id="5" name="Imagen 1" descr="logoTEDFok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200025"/>
          <a:ext cx="158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133</xdr:row>
      <xdr:rowOff>0</xdr:rowOff>
    </xdr:from>
    <xdr:to>
      <xdr:col>6</xdr:col>
      <xdr:colOff>142875</xdr:colOff>
      <xdr:row>133</xdr:row>
      <xdr:rowOff>0</xdr:rowOff>
    </xdr:to>
    <xdr:graphicFrame>
      <xdr:nvGraphicFramePr>
        <xdr:cNvPr id="6" name="Chart 3"/>
        <xdr:cNvGraphicFramePr/>
      </xdr:nvGraphicFramePr>
      <xdr:xfrm>
        <a:off x="85725" y="22440900"/>
        <a:ext cx="8105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85725</xdr:colOff>
      <xdr:row>133</xdr:row>
      <xdr:rowOff>0</xdr:rowOff>
    </xdr:from>
    <xdr:to>
      <xdr:col>6</xdr:col>
      <xdr:colOff>142875</xdr:colOff>
      <xdr:row>133</xdr:row>
      <xdr:rowOff>0</xdr:rowOff>
    </xdr:to>
    <xdr:graphicFrame>
      <xdr:nvGraphicFramePr>
        <xdr:cNvPr id="7" name="Chart 8"/>
        <xdr:cNvGraphicFramePr/>
      </xdr:nvGraphicFramePr>
      <xdr:xfrm>
        <a:off x="85725" y="22440900"/>
        <a:ext cx="81057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85725</xdr:colOff>
      <xdr:row>133</xdr:row>
      <xdr:rowOff>0</xdr:rowOff>
    </xdr:from>
    <xdr:to>
      <xdr:col>6</xdr:col>
      <xdr:colOff>142875</xdr:colOff>
      <xdr:row>133</xdr:row>
      <xdr:rowOff>0</xdr:rowOff>
    </xdr:to>
    <xdr:graphicFrame>
      <xdr:nvGraphicFramePr>
        <xdr:cNvPr id="8" name="Chart 11"/>
        <xdr:cNvGraphicFramePr/>
      </xdr:nvGraphicFramePr>
      <xdr:xfrm>
        <a:off x="85725" y="22440900"/>
        <a:ext cx="81057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85725</xdr:colOff>
      <xdr:row>133</xdr:row>
      <xdr:rowOff>0</xdr:rowOff>
    </xdr:from>
    <xdr:to>
      <xdr:col>6</xdr:col>
      <xdr:colOff>142875</xdr:colOff>
      <xdr:row>133</xdr:row>
      <xdr:rowOff>0</xdr:rowOff>
    </xdr:to>
    <xdr:graphicFrame>
      <xdr:nvGraphicFramePr>
        <xdr:cNvPr id="9" name="Chart 12"/>
        <xdr:cNvGraphicFramePr/>
      </xdr:nvGraphicFramePr>
      <xdr:xfrm>
        <a:off x="85725" y="22440900"/>
        <a:ext cx="81057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38100</xdr:colOff>
      <xdr:row>72</xdr:row>
      <xdr:rowOff>47625</xdr:rowOff>
    </xdr:from>
    <xdr:to>
      <xdr:col>1</xdr:col>
      <xdr:colOff>1533525</xdr:colOff>
      <xdr:row>74</xdr:row>
      <xdr:rowOff>104775</xdr:rowOff>
    </xdr:to>
    <xdr:pic>
      <xdr:nvPicPr>
        <xdr:cNvPr id="10" name="Imagen 1" descr="logoTEDFok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11925300"/>
          <a:ext cx="158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0</xdr:col>
      <xdr:colOff>1647825</xdr:colOff>
      <xdr:row>2</xdr:row>
      <xdr:rowOff>95250</xdr:rowOff>
    </xdr:to>
    <xdr:pic>
      <xdr:nvPicPr>
        <xdr:cNvPr id="1" name="Imagen 1" descr="logoTEDF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581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rancisco%20hernandez\Mis%20documentos\Edosfin2005\31-01-2005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rancisco%20hernandez\Mis%20documentos\Edosfin2005\31-12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ura.galvan\AppData\Local\Microsoft\Windows\INetCache\Content.Outlook\3I16J2KZ\31-01-2005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ADO DE POSICION"/>
      <sheetName val="ESTADO DE RESULTADOS"/>
      <sheetName val="ANEXOS"/>
      <sheetName val="PRESUPACUM"/>
      <sheetName val="PREEJERACUM"/>
      <sheetName val="ANALITICO"/>
      <sheetName val="REPLANT"/>
      <sheetName val="ANAMENSUAL"/>
      <sheetName val="COCILIACION SANTANDER"/>
      <sheetName val="ORIGEN Y APLICACION"/>
      <sheetName val="AMARRE ACTIVO FIJO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ADO DE POSICION"/>
      <sheetName val="ESTADO DE RESULTADOS"/>
      <sheetName val="ANEXOS"/>
      <sheetName val="PRESUPACUM"/>
      <sheetName val="PREEJERACUM"/>
      <sheetName val="ANALITICO"/>
      <sheetName val="REPLANT"/>
      <sheetName val="ANAMENSUAL"/>
      <sheetName val="COCILIACIONES BANCARIAS"/>
      <sheetName val="ORIGEN Y APLICACION"/>
      <sheetName val="AMARRE ACTIVO FIJO"/>
      <sheetName val="INDICE"/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ADO DE POSICION"/>
      <sheetName val="ESTADO DE RESULTADOS"/>
      <sheetName val="ANEXOS"/>
      <sheetName val="PRESUPACUM"/>
      <sheetName val="PREEJERACUM"/>
      <sheetName val="ANALITICO"/>
      <sheetName val="REPLANT"/>
      <sheetName val="ANAMENSUAL"/>
      <sheetName val="COCILIACION SANTANDER"/>
      <sheetName val="ORIGEN Y APLICACION"/>
      <sheetName val="AMARRE ACTIVO FIJO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showGridLines="0" tabSelected="1" zoomScale="90" zoomScaleNormal="90" zoomScalePageLayoutView="0" workbookViewId="0" topLeftCell="A10">
      <selection activeCell="A10" sqref="A10"/>
    </sheetView>
  </sheetViews>
  <sheetFormatPr defaultColWidth="11.421875" defaultRowHeight="12.75"/>
  <cols>
    <col min="1" max="1" width="1.28515625" style="3" customWidth="1"/>
    <col min="2" max="2" width="70.7109375" style="3" customWidth="1"/>
    <col min="3" max="3" width="0.5625" style="3" customWidth="1"/>
    <col min="4" max="4" width="18.140625" style="177" customWidth="1"/>
    <col min="5" max="5" width="9.7109375" style="6" customWidth="1"/>
    <col min="6" max="6" width="20.28125" style="3" customWidth="1"/>
    <col min="7" max="7" width="3.8515625" style="6" customWidth="1"/>
    <col min="8" max="8" width="13.7109375" style="3" bestFit="1" customWidth="1"/>
    <col min="9" max="9" width="19.7109375" style="3" bestFit="1" customWidth="1"/>
    <col min="10" max="16384" width="11.421875" style="3" customWidth="1"/>
  </cols>
  <sheetData>
    <row r="1" spans="1:7" ht="12.75">
      <c r="A1" s="103"/>
      <c r="B1" s="104"/>
      <c r="C1" s="105"/>
      <c r="D1" s="164"/>
      <c r="E1" s="105"/>
      <c r="F1" s="105"/>
      <c r="G1" s="106"/>
    </row>
    <row r="2" spans="1:7" ht="20.25">
      <c r="A2" s="107"/>
      <c r="B2" s="307" t="s">
        <v>71</v>
      </c>
      <c r="C2" s="307"/>
      <c r="D2" s="307"/>
      <c r="E2" s="307"/>
      <c r="F2" s="307"/>
      <c r="G2" s="212"/>
    </row>
    <row r="3" spans="1:7" ht="18">
      <c r="A3" s="108"/>
      <c r="B3" s="309" t="s">
        <v>72</v>
      </c>
      <c r="C3" s="309"/>
      <c r="D3" s="309"/>
      <c r="E3" s="309"/>
      <c r="F3" s="309"/>
      <c r="G3" s="194"/>
    </row>
    <row r="4" spans="1:7" ht="18">
      <c r="A4" s="108"/>
      <c r="B4" s="162"/>
      <c r="C4" s="162"/>
      <c r="D4" s="165"/>
      <c r="E4" s="162"/>
      <c r="F4" s="162"/>
      <c r="G4" s="194"/>
    </row>
    <row r="5" spans="1:7" ht="8.25" customHeight="1">
      <c r="A5" s="108"/>
      <c r="B5" s="162"/>
      <c r="C5" s="162"/>
      <c r="D5" s="165"/>
      <c r="E5" s="162"/>
      <c r="F5" s="162"/>
      <c r="G5" s="194"/>
    </row>
    <row r="6" spans="1:7" ht="15.75">
      <c r="A6" s="108"/>
      <c r="B6" s="308" t="s">
        <v>283</v>
      </c>
      <c r="C6" s="308"/>
      <c r="D6" s="308"/>
      <c r="E6" s="308"/>
      <c r="F6" s="308"/>
      <c r="G6" s="194"/>
    </row>
    <row r="7" spans="1:7" ht="6" customHeight="1">
      <c r="A7" s="108"/>
      <c r="B7" s="308" t="s">
        <v>92</v>
      </c>
      <c r="C7" s="299"/>
      <c r="D7" s="299"/>
      <c r="E7" s="299"/>
      <c r="F7" s="299"/>
      <c r="G7" s="194"/>
    </row>
    <row r="8" spans="1:7" ht="15" customHeight="1">
      <c r="A8" s="108"/>
      <c r="B8" s="110" t="s">
        <v>32</v>
      </c>
      <c r="C8" s="111" t="s">
        <v>31</v>
      </c>
      <c r="D8" s="166" t="s">
        <v>33</v>
      </c>
      <c r="E8" s="113"/>
      <c r="F8" s="112" t="s">
        <v>34</v>
      </c>
      <c r="G8" s="213"/>
    </row>
    <row r="9" spans="1:7" ht="3.75" customHeight="1">
      <c r="A9" s="108"/>
      <c r="B9" s="114"/>
      <c r="C9" s="111"/>
      <c r="D9" s="167"/>
      <c r="E9" s="111"/>
      <c r="F9" s="111"/>
      <c r="G9" s="194"/>
    </row>
    <row r="10" spans="1:9" ht="12.75" customHeight="1">
      <c r="A10" s="115"/>
      <c r="B10" s="178" t="s">
        <v>179</v>
      </c>
      <c r="C10" s="99"/>
      <c r="D10" s="218">
        <v>55072026.92</v>
      </c>
      <c r="E10" s="116"/>
      <c r="F10" s="183">
        <v>99.43851558273832</v>
      </c>
      <c r="G10" s="200"/>
      <c r="H10" s="1"/>
      <c r="I10" s="4"/>
    </row>
    <row r="11" spans="1:8" ht="12.75" customHeight="1">
      <c r="A11" s="115"/>
      <c r="B11" s="178" t="s">
        <v>180</v>
      </c>
      <c r="C11" s="99"/>
      <c r="D11" s="219">
        <v>310966.88</v>
      </c>
      <c r="E11" s="116"/>
      <c r="F11" s="183">
        <v>0.5614844172616756</v>
      </c>
      <c r="G11" s="200"/>
      <c r="H11" s="10"/>
    </row>
    <row r="12" spans="1:8" s="6" customFormat="1" ht="12.75" customHeight="1">
      <c r="A12" s="115"/>
      <c r="B12" s="187" t="s">
        <v>95</v>
      </c>
      <c r="C12" s="99"/>
      <c r="D12" s="188">
        <v>55382993.800000004</v>
      </c>
      <c r="E12" s="116"/>
      <c r="F12" s="189">
        <v>100</v>
      </c>
      <c r="G12" s="200"/>
      <c r="H12" s="5"/>
    </row>
    <row r="13" spans="1:7" ht="7.5" customHeight="1">
      <c r="A13" s="115"/>
      <c r="B13" s="117"/>
      <c r="C13" s="99"/>
      <c r="D13" s="168"/>
      <c r="E13" s="116"/>
      <c r="F13" s="119"/>
      <c r="G13" s="200"/>
    </row>
    <row r="14" spans="1:9" ht="15" customHeight="1">
      <c r="A14" s="115"/>
      <c r="B14" s="178"/>
      <c r="C14" s="101"/>
      <c r="D14" s="180"/>
      <c r="E14" s="118"/>
      <c r="F14" s="181"/>
      <c r="G14" s="200"/>
      <c r="I14" s="4"/>
    </row>
    <row r="15" spans="1:7" ht="7.5" customHeight="1">
      <c r="A15" s="115"/>
      <c r="B15" s="117"/>
      <c r="C15" s="99"/>
      <c r="D15" s="168"/>
      <c r="E15" s="116"/>
      <c r="F15" s="119"/>
      <c r="G15" s="200"/>
    </row>
    <row r="16" spans="1:7" ht="12.75" customHeight="1">
      <c r="A16" s="115"/>
      <c r="B16" s="179"/>
      <c r="C16" s="99"/>
      <c r="D16" s="182"/>
      <c r="E16" s="116"/>
      <c r="F16" s="184"/>
      <c r="G16" s="200"/>
    </row>
    <row r="17" spans="1:9" ht="12.75" customHeight="1">
      <c r="A17" s="115"/>
      <c r="B17" s="178"/>
      <c r="C17" s="99"/>
      <c r="D17" s="180"/>
      <c r="E17" s="116"/>
      <c r="F17" s="183"/>
      <c r="G17" s="200"/>
      <c r="I17" s="4"/>
    </row>
    <row r="18" spans="1:9" ht="12.75" customHeight="1">
      <c r="A18" s="115"/>
      <c r="B18" s="179" t="s">
        <v>96</v>
      </c>
      <c r="C18" s="99"/>
      <c r="D18" s="180"/>
      <c r="E18" s="116"/>
      <c r="F18" s="183"/>
      <c r="G18" s="200"/>
      <c r="I18" s="4"/>
    </row>
    <row r="19" spans="1:9" ht="12.75" customHeight="1">
      <c r="A19" s="115"/>
      <c r="B19" s="178" t="s">
        <v>97</v>
      </c>
      <c r="C19" s="99"/>
      <c r="D19" s="180">
        <v>184316.09</v>
      </c>
      <c r="E19" s="116"/>
      <c r="F19" s="183">
        <v>0.3299720899167254</v>
      </c>
      <c r="G19" s="200"/>
      <c r="I19" s="4"/>
    </row>
    <row r="20" spans="1:9" ht="12.75" customHeight="1">
      <c r="A20" s="115"/>
      <c r="B20" s="178" t="s">
        <v>98</v>
      </c>
      <c r="C20" s="99"/>
      <c r="D20" s="180">
        <v>281774.97000000003</v>
      </c>
      <c r="E20" s="116"/>
      <c r="F20" s="183">
        <v>0.504447960767411</v>
      </c>
      <c r="G20" s="200"/>
      <c r="I20" s="4"/>
    </row>
    <row r="21" spans="1:9" ht="12.75" customHeight="1">
      <c r="A21" s="115"/>
      <c r="B21" s="178" t="s">
        <v>22</v>
      </c>
      <c r="C21" s="99"/>
      <c r="D21" s="180">
        <v>9000</v>
      </c>
      <c r="E21" s="116"/>
      <c r="F21" s="183">
        <v>0.01611226024407597</v>
      </c>
      <c r="G21" s="200"/>
      <c r="I21" s="4"/>
    </row>
    <row r="22" spans="1:9" ht="12.75" customHeight="1">
      <c r="A22" s="115"/>
      <c r="B22" s="178" t="s">
        <v>21</v>
      </c>
      <c r="C22" s="99"/>
      <c r="D22" s="180">
        <v>0</v>
      </c>
      <c r="E22" s="116"/>
      <c r="F22" s="183">
        <v>0</v>
      </c>
      <c r="G22" s="200"/>
      <c r="I22" s="4"/>
    </row>
    <row r="23" spans="1:8" ht="12.75" customHeight="1">
      <c r="A23" s="115"/>
      <c r="B23" s="178"/>
      <c r="C23" s="99"/>
      <c r="D23" s="180"/>
      <c r="E23" s="116"/>
      <c r="F23" s="183"/>
      <c r="G23" s="200"/>
      <c r="H23" s="4"/>
    </row>
    <row r="24" spans="1:9" s="6" customFormat="1" ht="15" customHeight="1">
      <c r="A24" s="115"/>
      <c r="B24" s="187" t="s">
        <v>96</v>
      </c>
      <c r="C24" s="111" t="s">
        <v>39</v>
      </c>
      <c r="D24" s="175">
        <v>475091.06000000006</v>
      </c>
      <c r="E24" s="117"/>
      <c r="F24" s="185">
        <v>0.8505323109282124</v>
      </c>
      <c r="G24" s="200"/>
      <c r="H24" s="5"/>
      <c r="I24" s="5"/>
    </row>
    <row r="25" spans="1:8" ht="15" customHeight="1">
      <c r="A25" s="115"/>
      <c r="B25" s="121" t="s">
        <v>199</v>
      </c>
      <c r="C25" s="111"/>
      <c r="D25" s="169">
        <v>55858084.86000001</v>
      </c>
      <c r="E25" s="117"/>
      <c r="F25" s="120">
        <v>100.85053231092822</v>
      </c>
      <c r="G25" s="200"/>
      <c r="H25" s="145"/>
    </row>
    <row r="26" spans="1:7" ht="15" customHeight="1">
      <c r="A26" s="108"/>
      <c r="B26" s="112" t="s">
        <v>99</v>
      </c>
      <c r="C26" s="111"/>
      <c r="D26" s="170"/>
      <c r="E26" s="111"/>
      <c r="F26" s="122"/>
      <c r="G26" s="194"/>
    </row>
    <row r="27" spans="1:7" ht="15" customHeight="1">
      <c r="A27" s="108"/>
      <c r="B27" s="123" t="s">
        <v>35</v>
      </c>
      <c r="C27" s="111"/>
      <c r="D27" s="170" t="s">
        <v>31</v>
      </c>
      <c r="E27" s="111"/>
      <c r="F27" s="122" t="s">
        <v>31</v>
      </c>
      <c r="G27" s="194"/>
    </row>
    <row r="28" spans="1:7" ht="12.75">
      <c r="A28" s="115"/>
      <c r="B28" s="178" t="s">
        <v>10</v>
      </c>
      <c r="C28" s="99"/>
      <c r="D28" s="180">
        <v>7905893.89</v>
      </c>
      <c r="E28" s="116"/>
      <c r="F28" s="183">
        <v>14.153535535303346</v>
      </c>
      <c r="G28" s="194"/>
    </row>
    <row r="29" spans="1:7" ht="12.75">
      <c r="A29" s="115"/>
      <c r="B29" s="178" t="s">
        <v>36</v>
      </c>
      <c r="C29" s="99"/>
      <c r="D29" s="180">
        <v>1218324.5899999999</v>
      </c>
      <c r="E29" s="116"/>
      <c r="F29" s="183">
        <v>2.181106983981906</v>
      </c>
      <c r="G29" s="194"/>
    </row>
    <row r="30" spans="1:7" ht="12.75">
      <c r="A30" s="115"/>
      <c r="B30" s="178" t="s">
        <v>37</v>
      </c>
      <c r="C30" s="99"/>
      <c r="D30" s="180">
        <v>42943.57</v>
      </c>
      <c r="E30" s="116"/>
      <c r="F30" s="183">
        <v>0.07687977507218817</v>
      </c>
      <c r="G30" s="194"/>
    </row>
    <row r="31" spans="1:7" ht="12.75">
      <c r="A31" s="108"/>
      <c r="B31" s="178" t="s">
        <v>38</v>
      </c>
      <c r="C31" s="99"/>
      <c r="D31" s="180">
        <v>3097244.59</v>
      </c>
      <c r="E31" s="116"/>
      <c r="F31" s="183">
        <v>5.544845652626265</v>
      </c>
      <c r="G31" s="214"/>
    </row>
    <row r="32" spans="1:7" ht="12.75">
      <c r="A32" s="108"/>
      <c r="B32" s="178" t="s">
        <v>19</v>
      </c>
      <c r="C32" s="99"/>
      <c r="D32" s="186">
        <v>27715315.05</v>
      </c>
      <c r="E32" s="116"/>
      <c r="F32" s="183">
        <v>49.617374314683936</v>
      </c>
      <c r="G32" s="194"/>
    </row>
    <row r="33" spans="1:7" ht="9" customHeight="1">
      <c r="A33" s="108"/>
      <c r="B33" s="124"/>
      <c r="C33" s="99"/>
      <c r="D33" s="168"/>
      <c r="E33" s="116"/>
      <c r="F33" s="119"/>
      <c r="G33" s="194"/>
    </row>
    <row r="34" spans="1:9" s="6" customFormat="1" ht="15" customHeight="1">
      <c r="A34" s="115"/>
      <c r="B34" s="128" t="s">
        <v>39</v>
      </c>
      <c r="C34" s="99"/>
      <c r="D34" s="190">
        <v>39979721.69</v>
      </c>
      <c r="E34" s="118"/>
      <c r="F34" s="191">
        <v>71.57374226166765</v>
      </c>
      <c r="G34" s="194"/>
      <c r="I34" s="5"/>
    </row>
    <row r="35" spans="1:7" ht="15" customHeight="1">
      <c r="A35" s="108"/>
      <c r="B35" s="123" t="s">
        <v>40</v>
      </c>
      <c r="C35" s="111"/>
      <c r="D35" s="170" t="s">
        <v>31</v>
      </c>
      <c r="E35" s="111"/>
      <c r="F35" s="122" t="s">
        <v>31</v>
      </c>
      <c r="G35" s="214"/>
    </row>
    <row r="36" spans="1:7" ht="12.75">
      <c r="A36" s="108"/>
      <c r="B36" s="178" t="s">
        <v>214</v>
      </c>
      <c r="C36" s="99"/>
      <c r="D36" s="180">
        <v>52590.740000000005</v>
      </c>
      <c r="E36" s="116"/>
      <c r="F36" s="183">
        <v>0.09415063214539289</v>
      </c>
      <c r="G36" s="194"/>
    </row>
    <row r="37" spans="1:7" s="7" customFormat="1" ht="12.75">
      <c r="A37" s="100"/>
      <c r="B37" s="178" t="s">
        <v>11</v>
      </c>
      <c r="C37" s="99"/>
      <c r="D37" s="180">
        <v>48741.36</v>
      </c>
      <c r="E37" s="116"/>
      <c r="F37" s="183">
        <v>0.08725927521891053</v>
      </c>
      <c r="G37" s="163"/>
    </row>
    <row r="38" spans="1:7" s="7" customFormat="1" ht="12.75">
      <c r="A38" s="100"/>
      <c r="B38" s="178" t="s">
        <v>215</v>
      </c>
      <c r="C38" s="99"/>
      <c r="D38" s="180">
        <v>22634.209999999995</v>
      </c>
      <c r="E38" s="116"/>
      <c r="F38" s="183">
        <v>0.04052092021545186</v>
      </c>
      <c r="G38" s="163"/>
    </row>
    <row r="39" spans="1:7" s="7" customFormat="1" ht="12.75">
      <c r="A39" s="100"/>
      <c r="B39" s="178" t="s">
        <v>216</v>
      </c>
      <c r="C39" s="99"/>
      <c r="D39" s="180">
        <v>0</v>
      </c>
      <c r="E39" s="116"/>
      <c r="F39" s="183">
        <v>0</v>
      </c>
      <c r="G39" s="163"/>
    </row>
    <row r="40" spans="1:7" s="7" customFormat="1" ht="12.75">
      <c r="A40" s="100"/>
      <c r="B40" s="178" t="s">
        <v>12</v>
      </c>
      <c r="C40" s="99"/>
      <c r="D40" s="180">
        <v>0</v>
      </c>
      <c r="E40" s="116"/>
      <c r="F40" s="183">
        <v>0</v>
      </c>
      <c r="G40" s="163"/>
    </row>
    <row r="41" spans="1:7" s="7" customFormat="1" ht="12.75">
      <c r="A41" s="100"/>
      <c r="B41" s="178" t="s">
        <v>28</v>
      </c>
      <c r="C41" s="99"/>
      <c r="D41" s="180">
        <v>0</v>
      </c>
      <c r="E41" s="116"/>
      <c r="F41" s="183">
        <v>0</v>
      </c>
      <c r="G41" s="163"/>
    </row>
    <row r="42" spans="1:7" s="7" customFormat="1" ht="12.75">
      <c r="A42" s="100"/>
      <c r="B42" s="178" t="s">
        <v>217</v>
      </c>
      <c r="C42" s="99"/>
      <c r="D42" s="186">
        <v>430.01</v>
      </c>
      <c r="E42" s="116"/>
      <c r="F42" s="192">
        <v>0.0007698258919505677</v>
      </c>
      <c r="G42" s="163"/>
    </row>
    <row r="43" spans="1:7" s="7" customFormat="1" ht="6.75" customHeight="1">
      <c r="A43" s="100"/>
      <c r="B43" s="117" t="s">
        <v>41</v>
      </c>
      <c r="C43" s="99"/>
      <c r="D43" s="168"/>
      <c r="E43" s="116"/>
      <c r="F43" s="125"/>
      <c r="G43" s="163"/>
    </row>
    <row r="44" spans="1:9" s="6" customFormat="1" ht="15" customHeight="1">
      <c r="A44" s="115"/>
      <c r="B44" s="128" t="s">
        <v>39</v>
      </c>
      <c r="C44" s="99"/>
      <c r="D44" s="190">
        <v>124396.31999999999</v>
      </c>
      <c r="E44" s="118"/>
      <c r="F44" s="191">
        <v>0.22270065347170584</v>
      </c>
      <c r="G44" s="194"/>
      <c r="I44" s="5"/>
    </row>
    <row r="45" spans="1:7" s="7" customFormat="1" ht="15" customHeight="1">
      <c r="A45" s="100"/>
      <c r="B45" s="123" t="s">
        <v>42</v>
      </c>
      <c r="C45" s="99"/>
      <c r="D45" s="168"/>
      <c r="E45" s="99"/>
      <c r="F45" s="127"/>
      <c r="G45" s="163"/>
    </row>
    <row r="46" spans="1:7" s="7" customFormat="1" ht="12.75">
      <c r="A46" s="100"/>
      <c r="B46" s="178" t="s">
        <v>13</v>
      </c>
      <c r="C46" s="99"/>
      <c r="D46" s="180">
        <v>416822.69000000006</v>
      </c>
      <c r="E46" s="116"/>
      <c r="F46" s="183">
        <v>0.7462172952128671</v>
      </c>
      <c r="G46" s="163"/>
    </row>
    <row r="47" spans="1:7" s="7" customFormat="1" ht="12.75">
      <c r="A47" s="100"/>
      <c r="B47" s="178" t="s">
        <v>218</v>
      </c>
      <c r="C47" s="99"/>
      <c r="D47" s="180">
        <v>121888.36</v>
      </c>
      <c r="E47" s="116"/>
      <c r="F47" s="183">
        <v>0.2182107752270689</v>
      </c>
      <c r="G47" s="163"/>
    </row>
    <row r="48" spans="1:7" s="7" customFormat="1" ht="12.75">
      <c r="A48" s="100"/>
      <c r="B48" s="178" t="s">
        <v>219</v>
      </c>
      <c r="C48" s="99"/>
      <c r="D48" s="180">
        <v>347306.27</v>
      </c>
      <c r="E48" s="116"/>
      <c r="F48" s="183">
        <v>0.6217654451821462</v>
      </c>
      <c r="G48" s="163"/>
    </row>
    <row r="49" spans="1:7" s="7" customFormat="1" ht="12.75">
      <c r="A49" s="100"/>
      <c r="B49" s="178" t="s">
        <v>220</v>
      </c>
      <c r="C49" s="99"/>
      <c r="D49" s="180">
        <v>78632.19</v>
      </c>
      <c r="E49" s="116"/>
      <c r="F49" s="183">
        <v>0.1407713676490698</v>
      </c>
      <c r="G49" s="163"/>
    </row>
    <row r="50" spans="1:7" s="7" customFormat="1" ht="12.75">
      <c r="A50" s="100"/>
      <c r="B50" s="178" t="s">
        <v>221</v>
      </c>
      <c r="C50" s="99"/>
      <c r="D50" s="180">
        <v>825732.9500000001</v>
      </c>
      <c r="E50" s="116"/>
      <c r="F50" s="183">
        <v>1.4782693536120637</v>
      </c>
      <c r="G50" s="163"/>
    </row>
    <row r="51" spans="1:7" s="7" customFormat="1" ht="12.75">
      <c r="A51" s="100"/>
      <c r="B51" s="178" t="s">
        <v>222</v>
      </c>
      <c r="C51" s="99"/>
      <c r="D51" s="180">
        <v>173484.96</v>
      </c>
      <c r="E51" s="116"/>
      <c r="F51" s="183">
        <v>0.31058164710590114</v>
      </c>
      <c r="G51" s="163"/>
    </row>
    <row r="52" spans="1:7" s="7" customFormat="1" ht="12.75">
      <c r="A52" s="100"/>
      <c r="B52" s="178" t="s">
        <v>223</v>
      </c>
      <c r="C52" s="99"/>
      <c r="D52" s="180">
        <v>5349.86</v>
      </c>
      <c r="E52" s="116"/>
      <c r="F52" s="183">
        <v>0.009577592954374695</v>
      </c>
      <c r="G52" s="163"/>
    </row>
    <row r="53" spans="1:7" s="7" customFormat="1" ht="12.75">
      <c r="A53" s="100"/>
      <c r="B53" s="178" t="s">
        <v>43</v>
      </c>
      <c r="C53" s="99"/>
      <c r="D53" s="180">
        <v>148078.02</v>
      </c>
      <c r="E53" s="116"/>
      <c r="F53" s="183">
        <v>0.26509684385194293</v>
      </c>
      <c r="G53" s="163"/>
    </row>
    <row r="54" spans="1:7" s="7" customFormat="1" ht="12.75">
      <c r="A54" s="100"/>
      <c r="B54" s="178" t="s">
        <v>178</v>
      </c>
      <c r="C54" s="99"/>
      <c r="D54" s="180">
        <v>0</v>
      </c>
      <c r="E54" s="116"/>
      <c r="F54" s="183">
        <v>0</v>
      </c>
      <c r="G54" s="163"/>
    </row>
    <row r="55" spans="1:7" s="7" customFormat="1" ht="12.75" customHeight="1">
      <c r="A55" s="100"/>
      <c r="B55" s="178" t="s">
        <v>213</v>
      </c>
      <c r="C55" s="99"/>
      <c r="D55" s="186">
        <v>1072443.71</v>
      </c>
      <c r="E55" s="116"/>
      <c r="F55" s="192">
        <v>1.9199435725158154</v>
      </c>
      <c r="G55" s="163"/>
    </row>
    <row r="56" spans="1:7" s="7" customFormat="1" ht="6.75" customHeight="1">
      <c r="A56" s="100"/>
      <c r="B56" s="117"/>
      <c r="C56" s="99"/>
      <c r="D56" s="168"/>
      <c r="E56" s="116"/>
      <c r="F56" s="119"/>
      <c r="G56" s="163"/>
    </row>
    <row r="57" spans="1:7" s="13" customFormat="1" ht="15" customHeight="1">
      <c r="A57" s="100"/>
      <c r="B57" s="128" t="s">
        <v>39</v>
      </c>
      <c r="C57" s="101"/>
      <c r="D57" s="190">
        <v>3189739.01</v>
      </c>
      <c r="E57" s="118"/>
      <c r="F57" s="193">
        <v>5.71043389331125</v>
      </c>
      <c r="G57" s="163"/>
    </row>
    <row r="58" spans="1:7" s="7" customFormat="1" ht="6.75" customHeight="1">
      <c r="A58" s="100"/>
      <c r="B58" s="128"/>
      <c r="C58" s="99"/>
      <c r="D58" s="171"/>
      <c r="E58" s="126"/>
      <c r="F58" s="123"/>
      <c r="G58" s="163"/>
    </row>
    <row r="59" spans="1:7" s="7" customFormat="1" ht="12.75" customHeight="1">
      <c r="A59" s="100"/>
      <c r="B59" s="128" t="s">
        <v>4</v>
      </c>
      <c r="C59" s="129"/>
      <c r="D59" s="296" t="s">
        <v>18</v>
      </c>
      <c r="E59" s="296"/>
      <c r="F59" s="296"/>
      <c r="G59" s="194"/>
    </row>
    <row r="60" spans="1:7" s="7" customFormat="1" ht="12.75" customHeight="1">
      <c r="A60" s="100"/>
      <c r="B60" s="128"/>
      <c r="C60" s="129"/>
      <c r="D60" s="172"/>
      <c r="E60" s="128"/>
      <c r="F60" s="128"/>
      <c r="G60" s="194"/>
    </row>
    <row r="61" spans="1:9" s="7" customFormat="1" ht="15.75" customHeight="1">
      <c r="A61" s="100"/>
      <c r="B61" s="128"/>
      <c r="C61" s="129"/>
      <c r="D61" s="172"/>
      <c r="E61" s="128"/>
      <c r="F61" s="128"/>
      <c r="G61" s="194"/>
      <c r="H61" s="13"/>
      <c r="I61" s="13"/>
    </row>
    <row r="62" spans="1:7" s="7" customFormat="1" ht="19.5" customHeight="1">
      <c r="A62" s="100"/>
      <c r="B62" s="197" t="s">
        <v>278</v>
      </c>
      <c r="C62" s="129"/>
      <c r="D62" s="306" t="s">
        <v>238</v>
      </c>
      <c r="E62" s="306"/>
      <c r="F62" s="306"/>
      <c r="G62" s="194"/>
    </row>
    <row r="63" spans="1:7" s="7" customFormat="1" ht="19.5" customHeight="1">
      <c r="A63" s="100"/>
      <c r="B63" s="288" t="s">
        <v>26</v>
      </c>
      <c r="C63" s="289"/>
      <c r="D63" s="310" t="s">
        <v>239</v>
      </c>
      <c r="E63" s="311"/>
      <c r="F63" s="312"/>
      <c r="G63" s="194"/>
    </row>
    <row r="64" spans="1:7" s="13" customFormat="1" ht="12.75">
      <c r="A64" s="100"/>
      <c r="B64" s="117"/>
      <c r="C64" s="129"/>
      <c r="D64" s="176"/>
      <c r="E64" s="117"/>
      <c r="F64" s="117"/>
      <c r="G64" s="215"/>
    </row>
    <row r="65" spans="1:7" s="13" customFormat="1" ht="12.75" customHeight="1">
      <c r="A65" s="100"/>
      <c r="B65" s="117"/>
      <c r="C65" s="99"/>
      <c r="D65" s="195"/>
      <c r="E65" s="161"/>
      <c r="F65" s="161"/>
      <c r="G65" s="215"/>
    </row>
    <row r="66" spans="1:7" s="6" customFormat="1" ht="12.75" customHeight="1">
      <c r="A66" s="100"/>
      <c r="B66" s="292" t="s">
        <v>5</v>
      </c>
      <c r="C66" s="292"/>
      <c r="D66" s="173"/>
      <c r="E66" s="131" t="s">
        <v>88</v>
      </c>
      <c r="F66" s="131"/>
      <c r="G66" s="215"/>
    </row>
    <row r="67" spans="1:7" s="6" customFormat="1" ht="12.75" customHeight="1">
      <c r="A67" s="100"/>
      <c r="B67" s="160"/>
      <c r="C67" s="160"/>
      <c r="D67" s="173"/>
      <c r="E67" s="131"/>
      <c r="F67" s="131"/>
      <c r="G67" s="215"/>
    </row>
    <row r="68" spans="1:7" s="6" customFormat="1" ht="12.75" customHeight="1">
      <c r="A68" s="100"/>
      <c r="B68" s="160"/>
      <c r="C68" s="160"/>
      <c r="D68" s="173"/>
      <c r="E68" s="131"/>
      <c r="F68" s="131"/>
      <c r="G68" s="215"/>
    </row>
    <row r="69" spans="1:7" s="6" customFormat="1" ht="12.75" customHeight="1">
      <c r="A69" s="100"/>
      <c r="B69" s="291" t="s">
        <v>44</v>
      </c>
      <c r="C69" s="290"/>
      <c r="D69" s="294" t="s">
        <v>253</v>
      </c>
      <c r="E69" s="314"/>
      <c r="F69" s="295"/>
      <c r="G69" s="132"/>
    </row>
    <row r="70" spans="1:7" s="6" customFormat="1" ht="13.5" customHeight="1">
      <c r="A70" s="100"/>
      <c r="B70" s="300" t="s">
        <v>243</v>
      </c>
      <c r="C70" s="301"/>
      <c r="D70" s="300" t="s">
        <v>91</v>
      </c>
      <c r="E70" s="293"/>
      <c r="F70" s="301"/>
      <c r="G70" s="216"/>
    </row>
    <row r="71" spans="1:7" s="6" customFormat="1" ht="12" customHeight="1">
      <c r="A71" s="102"/>
      <c r="B71" s="302" t="s">
        <v>275</v>
      </c>
      <c r="C71" s="304"/>
      <c r="D71" s="302"/>
      <c r="E71" s="303"/>
      <c r="F71" s="304"/>
      <c r="G71" s="133"/>
    </row>
    <row r="72" spans="1:7" ht="20.25" customHeight="1">
      <c r="A72" s="7"/>
      <c r="B72" s="297">
        <v>17</v>
      </c>
      <c r="C72" s="298"/>
      <c r="D72" s="298"/>
      <c r="E72" s="298"/>
      <c r="F72" s="298"/>
      <c r="G72" s="298"/>
    </row>
    <row r="73" spans="1:7" ht="20.25">
      <c r="A73" s="134"/>
      <c r="B73" s="313" t="s">
        <v>71</v>
      </c>
      <c r="C73" s="313"/>
      <c r="D73" s="313"/>
      <c r="E73" s="313"/>
      <c r="F73" s="313"/>
      <c r="G73" s="135"/>
    </row>
    <row r="74" spans="1:7" ht="18">
      <c r="A74" s="108"/>
      <c r="B74" s="309" t="s">
        <v>72</v>
      </c>
      <c r="C74" s="309"/>
      <c r="D74" s="309"/>
      <c r="E74" s="309"/>
      <c r="F74" s="309"/>
      <c r="G74" s="194"/>
    </row>
    <row r="75" spans="1:7" ht="18">
      <c r="A75" s="108"/>
      <c r="B75" s="162"/>
      <c r="C75" s="162"/>
      <c r="D75" s="165"/>
      <c r="E75" s="162"/>
      <c r="F75" s="162"/>
      <c r="G75" s="194"/>
    </row>
    <row r="76" spans="1:7" ht="18">
      <c r="A76" s="108"/>
      <c r="B76" s="162"/>
      <c r="C76" s="162"/>
      <c r="D76" s="165"/>
      <c r="E76" s="162"/>
      <c r="F76" s="162"/>
      <c r="G76" s="194"/>
    </row>
    <row r="77" spans="1:7" ht="15.75">
      <c r="A77" s="108"/>
      <c r="B77" s="299" t="s">
        <v>283</v>
      </c>
      <c r="C77" s="299"/>
      <c r="D77" s="299"/>
      <c r="E77" s="299"/>
      <c r="F77" s="299"/>
      <c r="G77" s="194"/>
    </row>
    <row r="78" spans="1:7" ht="15.75">
      <c r="A78" s="108"/>
      <c r="B78" s="299" t="s">
        <v>92</v>
      </c>
      <c r="C78" s="299"/>
      <c r="D78" s="299"/>
      <c r="E78" s="299"/>
      <c r="F78" s="299"/>
      <c r="G78" s="194"/>
    </row>
    <row r="79" spans="1:7" ht="12.75">
      <c r="A79" s="108"/>
      <c r="B79" s="114"/>
      <c r="C79" s="111"/>
      <c r="D79" s="170"/>
      <c r="E79" s="111"/>
      <c r="F79" s="111"/>
      <c r="G79" s="194"/>
    </row>
    <row r="80" spans="1:7" ht="15" customHeight="1">
      <c r="A80" s="108"/>
      <c r="B80" s="112" t="s">
        <v>32</v>
      </c>
      <c r="C80" s="111" t="s">
        <v>31</v>
      </c>
      <c r="D80" s="174" t="s">
        <v>33</v>
      </c>
      <c r="E80" s="113"/>
      <c r="F80" s="112" t="s">
        <v>34</v>
      </c>
      <c r="G80" s="213"/>
    </row>
    <row r="81" spans="1:7" ht="12.75">
      <c r="A81" s="108"/>
      <c r="B81" s="114"/>
      <c r="C81" s="111"/>
      <c r="D81" s="170"/>
      <c r="E81" s="111"/>
      <c r="F81" s="111"/>
      <c r="G81" s="194"/>
    </row>
    <row r="82" spans="1:7" ht="12.75">
      <c r="A82" s="108"/>
      <c r="B82" s="123"/>
      <c r="C82" s="99"/>
      <c r="D82" s="168"/>
      <c r="E82" s="99"/>
      <c r="F82" s="99"/>
      <c r="G82" s="194"/>
    </row>
    <row r="83" spans="1:7" ht="12.75">
      <c r="A83" s="108"/>
      <c r="B83" s="123"/>
      <c r="C83" s="99"/>
      <c r="D83" s="168"/>
      <c r="E83" s="99"/>
      <c r="F83" s="99"/>
      <c r="G83" s="194"/>
    </row>
    <row r="84" spans="1:7" ht="12.75">
      <c r="A84" s="108"/>
      <c r="B84" s="123"/>
      <c r="C84" s="99"/>
      <c r="D84" s="168"/>
      <c r="E84" s="99"/>
      <c r="F84" s="99"/>
      <c r="G84" s="194"/>
    </row>
    <row r="85" spans="1:7" ht="12.75">
      <c r="A85" s="108"/>
      <c r="B85" s="123"/>
      <c r="C85" s="99"/>
      <c r="D85" s="168"/>
      <c r="E85" s="99"/>
      <c r="F85" s="99"/>
      <c r="G85" s="194"/>
    </row>
    <row r="86" spans="1:7" ht="12.75">
      <c r="A86" s="108"/>
      <c r="B86" s="114"/>
      <c r="C86" s="111"/>
      <c r="D86" s="170"/>
      <c r="E86" s="99"/>
      <c r="F86" s="111"/>
      <c r="G86" s="194"/>
    </row>
    <row r="87" spans="1:7" ht="12.75">
      <c r="A87" s="108"/>
      <c r="B87" s="197" t="s">
        <v>1</v>
      </c>
      <c r="C87" s="99"/>
      <c r="D87" s="203">
        <v>43293857.019999996</v>
      </c>
      <c r="E87" s="99"/>
      <c r="F87" s="205">
        <v>77.5068768084506</v>
      </c>
      <c r="G87" s="194"/>
    </row>
    <row r="88" spans="1:7" ht="12.75">
      <c r="A88" s="108"/>
      <c r="B88" s="114"/>
      <c r="C88" s="111"/>
      <c r="D88" s="170"/>
      <c r="E88" s="99"/>
      <c r="F88" s="111"/>
      <c r="G88" s="194"/>
    </row>
    <row r="89" spans="1:7" ht="12.75">
      <c r="A89" s="108"/>
      <c r="B89" s="123"/>
      <c r="C89" s="99"/>
      <c r="D89" s="168"/>
      <c r="E89" s="99"/>
      <c r="F89" s="99"/>
      <c r="G89" s="194"/>
    </row>
    <row r="90" spans="1:7" ht="12.75">
      <c r="A90" s="108"/>
      <c r="B90" s="123"/>
      <c r="C90" s="99"/>
      <c r="D90" s="168"/>
      <c r="E90" s="99"/>
      <c r="F90" s="99"/>
      <c r="G90" s="194"/>
    </row>
    <row r="91" spans="1:7" ht="15" customHeight="1">
      <c r="A91" s="115"/>
      <c r="B91" s="136" t="s">
        <v>2</v>
      </c>
      <c r="C91" s="111"/>
      <c r="D91" s="170"/>
      <c r="E91" s="117"/>
      <c r="F91" s="117"/>
      <c r="G91" s="200"/>
    </row>
    <row r="92" spans="1:7" ht="12.75">
      <c r="A92" s="115"/>
      <c r="B92" s="117"/>
      <c r="C92" s="111"/>
      <c r="D92" s="170"/>
      <c r="E92" s="117"/>
      <c r="F92" s="117"/>
      <c r="G92" s="200"/>
    </row>
    <row r="93" spans="1:7" ht="12.75">
      <c r="A93" s="115"/>
      <c r="B93" s="178" t="s">
        <v>234</v>
      </c>
      <c r="C93" s="111"/>
      <c r="D93" s="198">
        <v>0</v>
      </c>
      <c r="E93" s="117"/>
      <c r="F93" s="199">
        <v>0</v>
      </c>
      <c r="G93" s="200"/>
    </row>
    <row r="94" spans="1:7" ht="12.75">
      <c r="A94" s="115"/>
      <c r="B94" s="178" t="s">
        <v>209</v>
      </c>
      <c r="C94" s="111"/>
      <c r="D94" s="198">
        <v>0</v>
      </c>
      <c r="E94" s="117"/>
      <c r="F94" s="199">
        <v>0</v>
      </c>
      <c r="G94" s="200"/>
    </row>
    <row r="95" spans="1:7" ht="12.75">
      <c r="A95" s="115"/>
      <c r="B95" s="178" t="s">
        <v>210</v>
      </c>
      <c r="C95" s="111"/>
      <c r="D95" s="201">
        <v>0</v>
      </c>
      <c r="E95" s="117"/>
      <c r="F95" s="204">
        <v>0</v>
      </c>
      <c r="G95" s="200"/>
    </row>
    <row r="96" spans="1:7" s="6" customFormat="1" ht="12.75">
      <c r="A96" s="115"/>
      <c r="B96" s="117"/>
      <c r="C96" s="111"/>
      <c r="D96" s="176"/>
      <c r="E96" s="117"/>
      <c r="F96" s="117"/>
      <c r="G96" s="200"/>
    </row>
    <row r="97" spans="1:7" ht="12.75">
      <c r="A97" s="115"/>
      <c r="B97" s="117" t="s">
        <v>79</v>
      </c>
      <c r="C97" s="111"/>
      <c r="D97" s="170"/>
      <c r="E97" s="117"/>
      <c r="F97" s="117"/>
      <c r="G97" s="200"/>
    </row>
    <row r="98" spans="1:7" ht="15" customHeight="1">
      <c r="A98" s="115"/>
      <c r="B98" s="206" t="s">
        <v>47</v>
      </c>
      <c r="C98" s="111"/>
      <c r="D98" s="202">
        <v>0</v>
      </c>
      <c r="E98" s="123"/>
      <c r="F98" s="179">
        <v>0</v>
      </c>
      <c r="G98" s="200"/>
    </row>
    <row r="99" spans="1:7" ht="12.75">
      <c r="A99" s="108"/>
      <c r="B99" s="114" t="s">
        <v>31</v>
      </c>
      <c r="C99" s="111"/>
      <c r="D99" s="170" t="s">
        <v>31</v>
      </c>
      <c r="E99" s="111"/>
      <c r="F99" s="111" t="s">
        <v>31</v>
      </c>
      <c r="G99" s="194"/>
    </row>
    <row r="100" spans="1:7" ht="15" customHeight="1">
      <c r="A100" s="108"/>
      <c r="B100" s="207" t="s">
        <v>20</v>
      </c>
      <c r="C100" s="111"/>
      <c r="D100" s="208">
        <v>43293857.019999996</v>
      </c>
      <c r="E100" s="117"/>
      <c r="F100" s="208">
        <v>77.5068768084506</v>
      </c>
      <c r="G100" s="194"/>
    </row>
    <row r="101" spans="1:7" ht="15" customHeight="1">
      <c r="A101" s="108"/>
      <c r="B101" s="112"/>
      <c r="C101" s="111"/>
      <c r="D101" s="175"/>
      <c r="E101" s="117"/>
      <c r="F101" s="137"/>
      <c r="G101" s="194"/>
    </row>
    <row r="102" spans="1:7" ht="12.75">
      <c r="A102" s="108"/>
      <c r="B102" s="117"/>
      <c r="C102" s="111"/>
      <c r="D102" s="170"/>
      <c r="E102" s="117"/>
      <c r="F102" s="111"/>
      <c r="G102" s="214"/>
    </row>
    <row r="103" spans="1:7" ht="15">
      <c r="A103" s="115"/>
      <c r="B103" s="112"/>
      <c r="C103" s="111"/>
      <c r="D103" s="175"/>
      <c r="E103" s="117"/>
      <c r="F103" s="137"/>
      <c r="G103" s="194"/>
    </row>
    <row r="104" spans="1:10" ht="12.75">
      <c r="A104" s="115"/>
      <c r="B104" s="178" t="s">
        <v>29</v>
      </c>
      <c r="C104" s="111"/>
      <c r="D104" s="198">
        <v>11778169.900000006</v>
      </c>
      <c r="E104" s="117"/>
      <c r="F104" s="178">
        <v>21.386846569329077</v>
      </c>
      <c r="G104" s="194"/>
      <c r="I104" s="4"/>
      <c r="J104" s="4"/>
    </row>
    <row r="105" spans="1:9" ht="12.75">
      <c r="A105" s="115"/>
      <c r="B105" s="178" t="s">
        <v>30</v>
      </c>
      <c r="C105" s="111"/>
      <c r="D105" s="198">
        <v>310966.88</v>
      </c>
      <c r="E105" s="117"/>
      <c r="F105" s="178">
        <v>0</v>
      </c>
      <c r="G105" s="194"/>
      <c r="I105" s="4"/>
    </row>
    <row r="106" spans="1:7" ht="12.75">
      <c r="A106" s="115"/>
      <c r="B106" s="117"/>
      <c r="C106" s="111"/>
      <c r="D106" s="176"/>
      <c r="E106" s="117"/>
      <c r="F106" s="117"/>
      <c r="G106" s="194"/>
    </row>
    <row r="107" spans="1:7" ht="13.5" thickBot="1">
      <c r="A107" s="108"/>
      <c r="B107" s="207" t="s">
        <v>56</v>
      </c>
      <c r="C107" s="111"/>
      <c r="D107" s="209">
        <v>12253260.960000008</v>
      </c>
      <c r="E107" s="117"/>
      <c r="F107" s="210">
        <v>22.23737888025729</v>
      </c>
      <c r="G107" s="194"/>
    </row>
    <row r="108" spans="1:10" ht="13.5" thickTop="1">
      <c r="A108" s="108"/>
      <c r="B108" s="117"/>
      <c r="C108" s="111"/>
      <c r="D108" s="170"/>
      <c r="E108" s="117"/>
      <c r="F108" s="111"/>
      <c r="G108" s="194"/>
      <c r="J108" s="4"/>
    </row>
    <row r="109" spans="1:7" ht="13.5" thickBot="1">
      <c r="A109" s="108"/>
      <c r="B109" s="207" t="s">
        <v>93</v>
      </c>
      <c r="C109" s="111"/>
      <c r="D109" s="209">
        <v>12089136.780000007</v>
      </c>
      <c r="E109" s="117"/>
      <c r="F109" s="211"/>
      <c r="G109" s="194"/>
    </row>
    <row r="110" spans="1:7" ht="12.75" customHeight="1" thickTop="1">
      <c r="A110" s="108"/>
      <c r="B110" s="117"/>
      <c r="C110" s="111"/>
      <c r="D110" s="170"/>
      <c r="E110" s="111"/>
      <c r="F110" s="111"/>
      <c r="G110" s="194"/>
    </row>
    <row r="111" spans="1:7" s="6" customFormat="1" ht="12.75" customHeight="1">
      <c r="A111" s="108"/>
      <c r="B111" s="123"/>
      <c r="C111" s="111"/>
      <c r="D111" s="175"/>
      <c r="E111" s="117"/>
      <c r="F111" s="138"/>
      <c r="G111" s="194"/>
    </row>
    <row r="112" spans="1:9" s="6" customFormat="1" ht="12.75" customHeight="1">
      <c r="A112" s="108"/>
      <c r="B112" s="123"/>
      <c r="C112" s="111"/>
      <c r="D112" s="175"/>
      <c r="E112" s="117"/>
      <c r="F112" s="138"/>
      <c r="G112" s="194"/>
      <c r="I112" s="9"/>
    </row>
    <row r="113" spans="1:9" ht="12.75" customHeight="1">
      <c r="A113" s="108"/>
      <c r="B113" s="123"/>
      <c r="C113" s="111"/>
      <c r="D113" s="175"/>
      <c r="E113" s="117"/>
      <c r="F113" s="138"/>
      <c r="G113" s="194"/>
      <c r="I113" s="4"/>
    </row>
    <row r="114" spans="1:7" ht="12.75" customHeight="1">
      <c r="A114" s="108"/>
      <c r="B114" s="139" t="s">
        <v>231</v>
      </c>
      <c r="C114" s="111"/>
      <c r="D114" s="175"/>
      <c r="E114" s="117"/>
      <c r="F114" s="138"/>
      <c r="G114" s="194"/>
    </row>
    <row r="115" spans="1:7" ht="12.75" customHeight="1">
      <c r="A115" s="108"/>
      <c r="B115" s="139" t="s">
        <v>230</v>
      </c>
      <c r="C115" s="111"/>
      <c r="D115" s="175"/>
      <c r="E115" s="117"/>
      <c r="F115" s="138"/>
      <c r="G115" s="194"/>
    </row>
    <row r="116" spans="1:7" ht="12.75" customHeight="1">
      <c r="A116" s="108"/>
      <c r="B116" s="123"/>
      <c r="C116" s="111"/>
      <c r="D116" s="175"/>
      <c r="E116" s="117"/>
      <c r="F116" s="138"/>
      <c r="G116" s="194"/>
    </row>
    <row r="117" spans="1:7" ht="12.75" customHeight="1">
      <c r="A117" s="108"/>
      <c r="B117" s="123"/>
      <c r="C117" s="111"/>
      <c r="D117" s="175"/>
      <c r="E117" s="117"/>
      <c r="F117" s="138"/>
      <c r="G117" s="194"/>
    </row>
    <row r="118" spans="1:7" ht="12.75" customHeight="1">
      <c r="A118" s="108"/>
      <c r="B118" s="123"/>
      <c r="C118" s="111"/>
      <c r="D118" s="175"/>
      <c r="E118" s="117"/>
      <c r="F118" s="138"/>
      <c r="G118" s="109"/>
    </row>
    <row r="119" spans="1:7" ht="12.75" customHeight="1">
      <c r="A119" s="108"/>
      <c r="B119" s="123"/>
      <c r="C119" s="111"/>
      <c r="D119" s="175"/>
      <c r="E119" s="117"/>
      <c r="F119" s="138"/>
      <c r="G119" s="109"/>
    </row>
    <row r="120" spans="1:7" ht="12.75" customHeight="1">
      <c r="A120" s="108"/>
      <c r="B120" s="123"/>
      <c r="C120" s="111"/>
      <c r="D120" s="175"/>
      <c r="E120" s="117"/>
      <c r="F120" s="138"/>
      <c r="G120" s="194"/>
    </row>
    <row r="121" spans="1:7" ht="12.75" customHeight="1">
      <c r="A121" s="108"/>
      <c r="B121" s="123"/>
      <c r="C121" s="111"/>
      <c r="D121" s="175"/>
      <c r="E121" s="117"/>
      <c r="F121" s="138"/>
      <c r="G121" s="194"/>
    </row>
    <row r="122" spans="1:7" ht="12.75" customHeight="1">
      <c r="A122" s="108"/>
      <c r="B122" s="123"/>
      <c r="C122" s="111"/>
      <c r="D122" s="175"/>
      <c r="E122" s="117"/>
      <c r="F122" s="138"/>
      <c r="G122" s="194"/>
    </row>
    <row r="123" spans="1:7" s="7" customFormat="1" ht="12.75" customHeight="1">
      <c r="A123" s="100"/>
      <c r="B123" s="128" t="s">
        <v>4</v>
      </c>
      <c r="C123" s="129"/>
      <c r="D123" s="296" t="s">
        <v>18</v>
      </c>
      <c r="E123" s="296"/>
      <c r="F123" s="296"/>
      <c r="G123" s="194"/>
    </row>
    <row r="124" spans="1:7" ht="12.75" customHeight="1">
      <c r="A124" s="108"/>
      <c r="B124" s="117"/>
      <c r="C124" s="111"/>
      <c r="D124" s="170"/>
      <c r="E124" s="111"/>
      <c r="F124" s="111"/>
      <c r="G124" s="194"/>
    </row>
    <row r="125" spans="1:9" ht="12.75">
      <c r="A125" s="108"/>
      <c r="B125" s="117"/>
      <c r="C125" s="111"/>
      <c r="D125" s="305"/>
      <c r="E125" s="305"/>
      <c r="F125" s="305"/>
      <c r="G125" s="194"/>
      <c r="I125" s="4"/>
    </row>
    <row r="126" spans="1:9" s="7" customFormat="1" ht="12.75" customHeight="1">
      <c r="A126" s="100"/>
      <c r="B126" s="128"/>
      <c r="C126" s="129"/>
      <c r="D126" s="296"/>
      <c r="E126" s="296"/>
      <c r="F126" s="296"/>
      <c r="G126" s="194"/>
      <c r="I126" s="287"/>
    </row>
    <row r="127" spans="1:7" s="7" customFormat="1" ht="12.75" customHeight="1">
      <c r="A127" s="100"/>
      <c r="B127" s="128"/>
      <c r="C127" s="129"/>
      <c r="D127" s="172"/>
      <c r="E127" s="128"/>
      <c r="F127" s="128"/>
      <c r="G127" s="194"/>
    </row>
    <row r="128" spans="1:9" s="7" customFormat="1" ht="15.75" customHeight="1">
      <c r="A128" s="100"/>
      <c r="B128" s="128"/>
      <c r="C128" s="129"/>
      <c r="D128" s="172"/>
      <c r="E128" s="128"/>
      <c r="F128" s="128"/>
      <c r="G128" s="194"/>
      <c r="H128" s="13"/>
      <c r="I128" s="13"/>
    </row>
    <row r="129" spans="1:7" s="7" customFormat="1" ht="19.5" customHeight="1">
      <c r="A129" s="100"/>
      <c r="B129" s="197" t="s">
        <v>278</v>
      </c>
      <c r="C129" s="129"/>
      <c r="D129" s="306" t="s">
        <v>238</v>
      </c>
      <c r="E129" s="306"/>
      <c r="F129" s="306"/>
      <c r="G129" s="194"/>
    </row>
    <row r="130" spans="1:7" s="7" customFormat="1" ht="12" customHeight="1">
      <c r="A130" s="100"/>
      <c r="B130" s="197" t="s">
        <v>26</v>
      </c>
      <c r="C130" s="129"/>
      <c r="D130" s="196" t="s">
        <v>239</v>
      </c>
      <c r="E130" s="179"/>
      <c r="F130" s="179"/>
      <c r="G130" s="194"/>
    </row>
    <row r="131" spans="1:7" s="13" customFormat="1" ht="12.75">
      <c r="A131" s="100"/>
      <c r="B131" s="117"/>
      <c r="C131" s="129"/>
      <c r="D131" s="217"/>
      <c r="E131" s="117"/>
      <c r="F131" s="117"/>
      <c r="G131" s="215"/>
    </row>
    <row r="132" spans="1:7" s="13" customFormat="1" ht="12.75" customHeight="1">
      <c r="A132" s="100"/>
      <c r="B132" s="117"/>
      <c r="C132" s="99"/>
      <c r="D132" s="195"/>
      <c r="E132" s="161"/>
      <c r="F132" s="161"/>
      <c r="G132" s="215"/>
    </row>
    <row r="133" spans="1:7" s="6" customFormat="1" ht="12.75" customHeight="1">
      <c r="A133" s="100"/>
      <c r="B133" s="292" t="s">
        <v>5</v>
      </c>
      <c r="C133" s="292"/>
      <c r="D133" s="173"/>
      <c r="E133" s="131" t="s">
        <v>88</v>
      </c>
      <c r="F133" s="131"/>
      <c r="G133" s="215"/>
    </row>
    <row r="134" spans="1:7" s="6" customFormat="1" ht="12.75" customHeight="1">
      <c r="A134" s="100"/>
      <c r="B134" s="292"/>
      <c r="C134" s="292"/>
      <c r="D134" s="173"/>
      <c r="E134" s="131"/>
      <c r="F134" s="131"/>
      <c r="G134" s="215"/>
    </row>
    <row r="135" spans="1:7" s="6" customFormat="1" ht="12.75" customHeight="1">
      <c r="A135" s="100"/>
      <c r="B135" s="160"/>
      <c r="C135" s="160"/>
      <c r="D135" s="173"/>
      <c r="E135" s="131"/>
      <c r="F135" s="131"/>
      <c r="G135" s="215"/>
    </row>
    <row r="136" spans="1:7" s="6" customFormat="1" ht="12.75" customHeight="1">
      <c r="A136" s="100"/>
      <c r="B136" s="160"/>
      <c r="C136" s="160"/>
      <c r="D136" s="173"/>
      <c r="E136" s="131"/>
      <c r="F136" s="131"/>
      <c r="G136" s="130"/>
    </row>
    <row r="137" spans="1:7" s="6" customFormat="1" ht="12.75" customHeight="1">
      <c r="A137" s="100"/>
      <c r="B137" s="160"/>
      <c r="C137" s="160"/>
      <c r="D137" s="173"/>
      <c r="E137" s="131"/>
      <c r="F137" s="131"/>
      <c r="G137" s="215"/>
    </row>
    <row r="138" spans="1:7" s="6" customFormat="1" ht="12.75" customHeight="1">
      <c r="A138" s="100"/>
      <c r="B138" s="291" t="s">
        <v>44</v>
      </c>
      <c r="C138" s="290"/>
      <c r="D138" s="294" t="s">
        <v>253</v>
      </c>
      <c r="E138" s="314"/>
      <c r="F138" s="295"/>
      <c r="G138" s="132"/>
    </row>
    <row r="139" spans="1:7" s="6" customFormat="1" ht="13.5" customHeight="1">
      <c r="A139" s="100"/>
      <c r="B139" s="300" t="s">
        <v>243</v>
      </c>
      <c r="C139" s="301"/>
      <c r="D139" s="300" t="s">
        <v>91</v>
      </c>
      <c r="E139" s="293"/>
      <c r="F139" s="301"/>
      <c r="G139" s="216"/>
    </row>
    <row r="140" spans="1:7" s="6" customFormat="1" ht="10.5" customHeight="1">
      <c r="A140" s="102"/>
      <c r="B140" s="302" t="s">
        <v>275</v>
      </c>
      <c r="C140" s="304"/>
      <c r="D140" s="302"/>
      <c r="E140" s="303"/>
      <c r="F140" s="304"/>
      <c r="G140" s="133"/>
    </row>
    <row r="141" spans="1:7" ht="20.25" customHeight="1">
      <c r="A141" s="7"/>
      <c r="B141" s="297">
        <v>18</v>
      </c>
      <c r="C141" s="298"/>
      <c r="D141" s="298"/>
      <c r="E141" s="298"/>
      <c r="F141" s="298"/>
      <c r="G141" s="298"/>
    </row>
  </sheetData>
  <sheetProtection/>
  <mergeCells count="32">
    <mergeCell ref="B71:C71"/>
    <mergeCell ref="B74:F74"/>
    <mergeCell ref="D71:F71"/>
    <mergeCell ref="B72:G72"/>
    <mergeCell ref="B66:C66"/>
    <mergeCell ref="D69:F69"/>
    <mergeCell ref="B134:C134"/>
    <mergeCell ref="B73:F73"/>
    <mergeCell ref="D123:F123"/>
    <mergeCell ref="B138:C138"/>
    <mergeCell ref="D138:F138"/>
    <mergeCell ref="B133:C133"/>
    <mergeCell ref="B2:F2"/>
    <mergeCell ref="D62:F62"/>
    <mergeCell ref="B7:F7"/>
    <mergeCell ref="D59:F59"/>
    <mergeCell ref="B70:C70"/>
    <mergeCell ref="B69:C69"/>
    <mergeCell ref="D70:F70"/>
    <mergeCell ref="B3:F3"/>
    <mergeCell ref="B6:F6"/>
    <mergeCell ref="D63:F63"/>
    <mergeCell ref="B141:G141"/>
    <mergeCell ref="B77:F77"/>
    <mergeCell ref="B78:F78"/>
    <mergeCell ref="D126:F126"/>
    <mergeCell ref="D139:F139"/>
    <mergeCell ref="D140:F140"/>
    <mergeCell ref="B140:C140"/>
    <mergeCell ref="D125:F125"/>
    <mergeCell ref="D129:F129"/>
    <mergeCell ref="B139:C139"/>
  </mergeCells>
  <printOptions horizontalCentered="1"/>
  <pageMargins left="0" right="0" top="0.1968503937007874" bottom="0" header="0" footer="0.1968503937007874"/>
  <pageSetup horizontalDpi="600" verticalDpi="600" orientation="portrait" scale="83" r:id="rId2"/>
  <rowBreaks count="1" manualBreakCount="1">
    <brk id="72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198"/>
  <sheetViews>
    <sheetView showGridLines="0" zoomScale="70" zoomScaleNormal="70" zoomScalePageLayoutView="0" workbookViewId="0" topLeftCell="A8">
      <pane xSplit="9" ySplit="8" topLeftCell="J16" activePane="bottomRight" state="frozen"/>
      <selection pane="topLeft" activeCell="A8" sqref="A8"/>
      <selection pane="topRight" activeCell="J8" sqref="J8"/>
      <selection pane="bottomLeft" activeCell="A16" sqref="A16"/>
      <selection pane="bottomRight" activeCell="J16" sqref="J16"/>
    </sheetView>
  </sheetViews>
  <sheetFormatPr defaultColWidth="14.7109375" defaultRowHeight="12.75"/>
  <cols>
    <col min="1" max="1" width="1.421875" style="8" customWidth="1"/>
    <col min="2" max="2" width="8.8515625" style="8" bestFit="1" customWidth="1"/>
    <col min="3" max="3" width="67.00390625" style="8" bestFit="1" customWidth="1"/>
    <col min="4" max="4" width="17.8515625" style="8" bestFit="1" customWidth="1"/>
    <col min="5" max="5" width="18.00390625" style="8" customWidth="1"/>
    <col min="6" max="9" width="16.57421875" style="8" hidden="1" customWidth="1"/>
    <col min="10" max="11" width="16.57421875" style="8" customWidth="1"/>
    <col min="12" max="12" width="16.57421875" style="8" hidden="1" customWidth="1"/>
    <col min="13" max="13" width="17.7109375" style="8" hidden="1" customWidth="1"/>
    <col min="14" max="14" width="16.57421875" style="8" hidden="1" customWidth="1"/>
    <col min="15" max="15" width="17.7109375" style="8" hidden="1" customWidth="1"/>
    <col min="16" max="16" width="16.57421875" style="8" hidden="1" customWidth="1"/>
    <col min="17" max="17" width="17.7109375" style="8" hidden="1" customWidth="1"/>
    <col min="18" max="18" width="16.57421875" style="8" hidden="1" customWidth="1"/>
    <col min="19" max="19" width="17.8515625" style="8" hidden="1" customWidth="1"/>
    <col min="20" max="20" width="16.57421875" style="8" hidden="1" customWidth="1"/>
    <col min="21" max="21" width="17.8515625" style="8" hidden="1" customWidth="1"/>
    <col min="22" max="22" width="16.7109375" style="8" hidden="1" customWidth="1"/>
    <col min="23" max="23" width="17.8515625" style="8" hidden="1" customWidth="1"/>
    <col min="24" max="24" width="16.57421875" style="8" hidden="1" customWidth="1"/>
    <col min="25" max="25" width="17.8515625" style="8" hidden="1" customWidth="1"/>
    <col min="26" max="26" width="16.57421875" style="8" hidden="1" customWidth="1"/>
    <col min="27" max="27" width="17.8515625" style="8" hidden="1" customWidth="1"/>
    <col min="28" max="28" width="16.57421875" style="8" hidden="1" customWidth="1"/>
    <col min="29" max="29" width="17.8515625" style="8" hidden="1" customWidth="1"/>
    <col min="30" max="30" width="20.140625" style="35" bestFit="1" customWidth="1"/>
    <col min="31" max="31" width="21.28125" style="8" customWidth="1"/>
    <col min="32" max="32" width="14.7109375" style="8" customWidth="1"/>
    <col min="33" max="33" width="3.57421875" style="8" bestFit="1" customWidth="1"/>
    <col min="34" max="34" width="12.57421875" style="8" bestFit="1" customWidth="1"/>
    <col min="35" max="35" width="13.28125" style="8" bestFit="1" customWidth="1"/>
    <col min="36" max="37" width="3.57421875" style="8" bestFit="1" customWidth="1"/>
    <col min="38" max="38" width="13.28125" style="8" bestFit="1" customWidth="1"/>
    <col min="39" max="39" width="13.140625" style="8" bestFit="1" customWidth="1"/>
    <col min="40" max="40" width="3.57421875" style="8" bestFit="1" customWidth="1"/>
    <col min="41" max="41" width="2.421875" style="8" bestFit="1" customWidth="1"/>
    <col min="42" max="43" width="12.57421875" style="8" bestFit="1" customWidth="1"/>
    <col min="44" max="45" width="3.57421875" style="8" bestFit="1" customWidth="1"/>
    <col min="46" max="46" width="13.28125" style="8" bestFit="1" customWidth="1"/>
    <col min="47" max="47" width="14.28125" style="8" bestFit="1" customWidth="1"/>
    <col min="48" max="48" width="14.7109375" style="8" customWidth="1"/>
    <col min="49" max="49" width="3.57421875" style="8" bestFit="1" customWidth="1"/>
    <col min="50" max="50" width="11.57421875" style="8" bestFit="1" customWidth="1"/>
    <col min="51" max="16384" width="14.7109375" style="8" customWidth="1"/>
  </cols>
  <sheetData>
    <row r="1" spans="1:30" ht="15.75">
      <c r="A1" s="29"/>
      <c r="B1" s="318" t="s">
        <v>71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20"/>
    </row>
    <row r="2" spans="1:30" ht="13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30"/>
    </row>
    <row r="3" spans="1:30" ht="18" customHeight="1">
      <c r="A3" s="31" t="s">
        <v>31</v>
      </c>
      <c r="B3" s="315" t="s">
        <v>72</v>
      </c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7"/>
    </row>
    <row r="4" spans="1:30" ht="18" customHeight="1">
      <c r="A4" s="3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11"/>
    </row>
    <row r="5" spans="1:30" ht="18" customHeight="1">
      <c r="A5" s="31"/>
      <c r="B5" s="315" t="s">
        <v>279</v>
      </c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7"/>
    </row>
    <row r="6" spans="1:30" ht="15.75">
      <c r="A6" s="31"/>
      <c r="B6" s="29"/>
      <c r="C6" s="32"/>
      <c r="D6" s="29"/>
      <c r="E6" s="29"/>
      <c r="F6" s="33"/>
      <c r="G6" s="33"/>
      <c r="H6" s="33"/>
      <c r="I6" s="33"/>
      <c r="J6" s="33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30"/>
    </row>
    <row r="7" spans="1:5" ht="15">
      <c r="A7" s="31"/>
      <c r="E7" s="24"/>
    </row>
    <row r="8" spans="1:30" ht="14.25" customHeight="1">
      <c r="A8" s="29"/>
      <c r="B8" s="36"/>
      <c r="C8" s="37"/>
      <c r="D8" s="28"/>
      <c r="E8" s="34" t="s">
        <v>52</v>
      </c>
      <c r="F8" s="38"/>
      <c r="G8" s="39" t="s">
        <v>52</v>
      </c>
      <c r="H8" s="38"/>
      <c r="I8" s="39" t="s">
        <v>52</v>
      </c>
      <c r="J8" s="38"/>
      <c r="K8" s="39" t="s">
        <v>52</v>
      </c>
      <c r="L8" s="40"/>
      <c r="M8" s="39" t="s">
        <v>52</v>
      </c>
      <c r="N8" s="40"/>
      <c r="O8" s="39" t="s">
        <v>52</v>
      </c>
      <c r="P8" s="40"/>
      <c r="Q8" s="39" t="s">
        <v>52</v>
      </c>
      <c r="R8" s="40"/>
      <c r="S8" s="39" t="s">
        <v>52</v>
      </c>
      <c r="T8" s="40"/>
      <c r="U8" s="39" t="s">
        <v>52</v>
      </c>
      <c r="V8" s="40"/>
      <c r="W8" s="39" t="s">
        <v>52</v>
      </c>
      <c r="X8" s="40"/>
      <c r="Y8" s="39" t="s">
        <v>52</v>
      </c>
      <c r="Z8" s="40"/>
      <c r="AA8" s="39" t="s">
        <v>52</v>
      </c>
      <c r="AB8" s="40"/>
      <c r="AC8" s="39" t="s">
        <v>52</v>
      </c>
      <c r="AD8" s="41"/>
    </row>
    <row r="9" spans="1:30" ht="15.75">
      <c r="A9" s="42"/>
      <c r="B9" s="38" t="s">
        <v>54</v>
      </c>
      <c r="C9" s="39" t="s">
        <v>82</v>
      </c>
      <c r="D9" s="34" t="s">
        <v>6</v>
      </c>
      <c r="E9" s="34" t="s">
        <v>90</v>
      </c>
      <c r="F9" s="39" t="s">
        <v>52</v>
      </c>
      <c r="G9" s="38" t="s">
        <v>83</v>
      </c>
      <c r="H9" s="39" t="s">
        <v>52</v>
      </c>
      <c r="I9" s="38" t="s">
        <v>60</v>
      </c>
      <c r="J9" s="39" t="s">
        <v>52</v>
      </c>
      <c r="K9" s="38" t="s">
        <v>58</v>
      </c>
      <c r="L9" s="39" t="s">
        <v>52</v>
      </c>
      <c r="M9" s="38" t="s">
        <v>61</v>
      </c>
      <c r="N9" s="39" t="s">
        <v>52</v>
      </c>
      <c r="O9" s="38" t="s">
        <v>62</v>
      </c>
      <c r="P9" s="39" t="s">
        <v>52</v>
      </c>
      <c r="Q9" s="38" t="s">
        <v>63</v>
      </c>
      <c r="R9" s="39" t="s">
        <v>52</v>
      </c>
      <c r="S9" s="38" t="s">
        <v>64</v>
      </c>
      <c r="T9" s="39" t="s">
        <v>52</v>
      </c>
      <c r="U9" s="38" t="s">
        <v>65</v>
      </c>
      <c r="V9" s="39" t="s">
        <v>52</v>
      </c>
      <c r="W9" s="38" t="s">
        <v>66</v>
      </c>
      <c r="X9" s="39" t="s">
        <v>52</v>
      </c>
      <c r="Y9" s="38" t="s">
        <v>67</v>
      </c>
      <c r="Z9" s="39" t="s">
        <v>52</v>
      </c>
      <c r="AA9" s="38" t="s">
        <v>68</v>
      </c>
      <c r="AB9" s="39" t="s">
        <v>52</v>
      </c>
      <c r="AC9" s="38" t="s">
        <v>69</v>
      </c>
      <c r="AD9" s="43" t="s">
        <v>53</v>
      </c>
    </row>
    <row r="10" spans="1:30" ht="15.75">
      <c r="A10" s="44"/>
      <c r="B10" s="45"/>
      <c r="C10" s="45"/>
      <c r="D10" s="46" t="s">
        <v>77</v>
      </c>
      <c r="E10" s="46" t="s">
        <v>58</v>
      </c>
      <c r="F10" s="46" t="s">
        <v>83</v>
      </c>
      <c r="G10" s="46" t="s">
        <v>33</v>
      </c>
      <c r="H10" s="46" t="s">
        <v>84</v>
      </c>
      <c r="I10" s="46" t="s">
        <v>33</v>
      </c>
      <c r="J10" s="46" t="s">
        <v>85</v>
      </c>
      <c r="K10" s="46" t="s">
        <v>33</v>
      </c>
      <c r="L10" s="47" t="s">
        <v>61</v>
      </c>
      <c r="M10" s="46" t="s">
        <v>33</v>
      </c>
      <c r="N10" s="47" t="s">
        <v>62</v>
      </c>
      <c r="O10" s="46" t="s">
        <v>33</v>
      </c>
      <c r="P10" s="47" t="s">
        <v>63</v>
      </c>
      <c r="Q10" s="46" t="s">
        <v>33</v>
      </c>
      <c r="R10" s="47" t="s">
        <v>64</v>
      </c>
      <c r="S10" s="46" t="s">
        <v>33</v>
      </c>
      <c r="T10" s="47" t="s">
        <v>65</v>
      </c>
      <c r="U10" s="46" t="s">
        <v>33</v>
      </c>
      <c r="V10" s="47" t="s">
        <v>66</v>
      </c>
      <c r="W10" s="46" t="s">
        <v>33</v>
      </c>
      <c r="X10" s="47" t="s">
        <v>67</v>
      </c>
      <c r="Y10" s="46" t="s">
        <v>33</v>
      </c>
      <c r="Z10" s="47" t="s">
        <v>68</v>
      </c>
      <c r="AA10" s="46" t="s">
        <v>33</v>
      </c>
      <c r="AB10" s="47" t="s">
        <v>69</v>
      </c>
      <c r="AC10" s="46" t="s">
        <v>33</v>
      </c>
      <c r="AD10" s="141" t="s">
        <v>78</v>
      </c>
    </row>
    <row r="11" spans="1:31" ht="15.75">
      <c r="A11" s="29"/>
      <c r="B11" s="48"/>
      <c r="C11" s="49" t="s">
        <v>24</v>
      </c>
      <c r="D11" s="50">
        <f aca="true" t="shared" si="0" ref="D11:AD11">+D23+D53+D101+D169</f>
        <v>231095501.48000002</v>
      </c>
      <c r="E11" s="50">
        <f t="shared" si="0"/>
        <v>231095501.48000002</v>
      </c>
      <c r="F11" s="50">
        <f t="shared" si="0"/>
        <v>16733228</v>
      </c>
      <c r="G11" s="50">
        <f t="shared" si="0"/>
        <v>16733228</v>
      </c>
      <c r="H11" s="50">
        <f t="shared" si="0"/>
        <v>19522101.2</v>
      </c>
      <c r="I11" s="50">
        <f t="shared" si="0"/>
        <v>36255329.2</v>
      </c>
      <c r="J11" s="50">
        <f t="shared" si="0"/>
        <v>18816697.72</v>
      </c>
      <c r="K11" s="50">
        <f t="shared" si="0"/>
        <v>55072026.92</v>
      </c>
      <c r="L11" s="50">
        <f t="shared" si="0"/>
        <v>18127664.6</v>
      </c>
      <c r="M11" s="50">
        <f t="shared" si="0"/>
        <v>73199691.52</v>
      </c>
      <c r="N11" s="50">
        <f t="shared" si="0"/>
        <v>16633683.440000001</v>
      </c>
      <c r="O11" s="50">
        <f t="shared" si="0"/>
        <v>89833374.96</v>
      </c>
      <c r="P11" s="50">
        <f t="shared" si="0"/>
        <v>18127664.6</v>
      </c>
      <c r="Q11" s="50">
        <f t="shared" si="0"/>
        <v>107961039.55999999</v>
      </c>
      <c r="R11" s="50">
        <f t="shared" si="0"/>
        <v>18127664.6</v>
      </c>
      <c r="S11" s="50">
        <f t="shared" si="0"/>
        <v>126088704.15999998</v>
      </c>
      <c r="T11" s="50">
        <f t="shared" si="0"/>
        <v>18127664.6</v>
      </c>
      <c r="U11" s="50">
        <f t="shared" si="0"/>
        <v>144216368.76</v>
      </c>
      <c r="V11" s="50">
        <f t="shared" si="0"/>
        <v>18127664.6</v>
      </c>
      <c r="W11" s="50">
        <f t="shared" si="0"/>
        <v>162344033.35999998</v>
      </c>
      <c r="X11" s="50">
        <f t="shared" si="0"/>
        <v>18127664.6</v>
      </c>
      <c r="Y11" s="50">
        <f t="shared" si="0"/>
        <v>180471697.95999998</v>
      </c>
      <c r="Z11" s="50">
        <f t="shared" si="0"/>
        <v>26127664.6</v>
      </c>
      <c r="AA11" s="50">
        <f t="shared" si="0"/>
        <v>206599362.56</v>
      </c>
      <c r="AB11" s="50">
        <f t="shared" si="0"/>
        <v>24496138.92</v>
      </c>
      <c r="AC11" s="50">
        <f t="shared" si="0"/>
        <v>231095501.48000002</v>
      </c>
      <c r="AD11" s="50">
        <f t="shared" si="0"/>
        <v>0</v>
      </c>
      <c r="AE11" s="15"/>
    </row>
    <row r="12" spans="1:32" ht="15.75">
      <c r="A12" s="29"/>
      <c r="B12" s="14"/>
      <c r="C12" s="14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51"/>
      <c r="AE12" s="15"/>
      <c r="AF12" s="15"/>
    </row>
    <row r="13" spans="1:31" ht="15.75">
      <c r="A13" s="29"/>
      <c r="B13" s="52"/>
      <c r="C13" s="52" t="s">
        <v>25</v>
      </c>
      <c r="D13" s="53">
        <f>+D172</f>
        <v>3436474.5199999996</v>
      </c>
      <c r="E13" s="53">
        <f>+E172</f>
        <v>3436474.5199999996</v>
      </c>
      <c r="F13" s="53">
        <f aca="true" t="shared" si="1" ref="F13:AC13">+F172</f>
        <v>0</v>
      </c>
      <c r="G13" s="53">
        <f>+G172</f>
        <v>0</v>
      </c>
      <c r="H13" s="53">
        <f t="shared" si="1"/>
        <v>0</v>
      </c>
      <c r="I13" s="53">
        <f>+I172</f>
        <v>0</v>
      </c>
      <c r="J13" s="53">
        <f t="shared" si="1"/>
        <v>310966.88</v>
      </c>
      <c r="K13" s="53">
        <f t="shared" si="1"/>
        <v>310966.88</v>
      </c>
      <c r="L13" s="53">
        <f>+L172</f>
        <v>0</v>
      </c>
      <c r="M13" s="53">
        <f>+M172</f>
        <v>310966.88</v>
      </c>
      <c r="N13" s="53">
        <f>+N172</f>
        <v>1493981.16</v>
      </c>
      <c r="O13" s="53">
        <f>+O172</f>
        <v>1804948.04</v>
      </c>
      <c r="P13" s="53">
        <f t="shared" si="1"/>
        <v>0</v>
      </c>
      <c r="Q13" s="53">
        <f t="shared" si="1"/>
        <v>1804948.04</v>
      </c>
      <c r="R13" s="53">
        <f t="shared" si="1"/>
        <v>0</v>
      </c>
      <c r="S13" s="53">
        <f>+S172</f>
        <v>1804948.04</v>
      </c>
      <c r="T13" s="53">
        <f>+T172</f>
        <v>0</v>
      </c>
      <c r="U13" s="53">
        <f>+U172</f>
        <v>1804948.04</v>
      </c>
      <c r="V13" s="53">
        <f t="shared" si="1"/>
        <v>0</v>
      </c>
      <c r="W13" s="53">
        <f t="shared" si="1"/>
        <v>1804948.04</v>
      </c>
      <c r="X13" s="53">
        <f t="shared" si="1"/>
        <v>0</v>
      </c>
      <c r="Y13" s="53">
        <f>+Y172</f>
        <v>1804948.04</v>
      </c>
      <c r="Z13" s="53">
        <f t="shared" si="1"/>
        <v>0</v>
      </c>
      <c r="AA13" s="53">
        <f>+AA172</f>
        <v>1804948.04</v>
      </c>
      <c r="AB13" s="53">
        <f>+AB172</f>
        <v>1631526.48</v>
      </c>
      <c r="AC13" s="53">
        <f t="shared" si="1"/>
        <v>3436474.5199999996</v>
      </c>
      <c r="AD13" s="53">
        <f>+AD172</f>
        <v>0</v>
      </c>
      <c r="AE13" s="15"/>
    </row>
    <row r="14" spans="1:32" ht="15.75">
      <c r="A14" s="29"/>
      <c r="B14" s="14"/>
      <c r="C14" s="14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15"/>
      <c r="AF14" s="15"/>
    </row>
    <row r="15" spans="1:34" ht="16.5" thickBot="1">
      <c r="A15" s="29"/>
      <c r="B15" s="54"/>
      <c r="C15" s="55" t="s">
        <v>81</v>
      </c>
      <c r="D15" s="56">
        <f>SUM(D11:D14)</f>
        <v>234531976.00000003</v>
      </c>
      <c r="E15" s="56">
        <f>SUM(E11:E14)</f>
        <v>234531976.00000003</v>
      </c>
      <c r="F15" s="56">
        <f aca="true" t="shared" si="2" ref="F15:AD15">SUM(F11:F14)</f>
        <v>16733228</v>
      </c>
      <c r="G15" s="56">
        <f t="shared" si="2"/>
        <v>16733228</v>
      </c>
      <c r="H15" s="56">
        <f t="shared" si="2"/>
        <v>19522101.2</v>
      </c>
      <c r="I15" s="56">
        <f t="shared" si="2"/>
        <v>36255329.2</v>
      </c>
      <c r="J15" s="56">
        <f t="shared" si="2"/>
        <v>19127664.599999998</v>
      </c>
      <c r="K15" s="56">
        <f t="shared" si="2"/>
        <v>55382993.800000004</v>
      </c>
      <c r="L15" s="56">
        <f>SUM(L11:L14)</f>
        <v>18127664.6</v>
      </c>
      <c r="M15" s="56">
        <f>SUM(M11:M14)</f>
        <v>73510658.39999999</v>
      </c>
      <c r="N15" s="56">
        <f t="shared" si="2"/>
        <v>18127664.6</v>
      </c>
      <c r="O15" s="56">
        <f t="shared" si="2"/>
        <v>91638323</v>
      </c>
      <c r="P15" s="56">
        <f t="shared" si="2"/>
        <v>18127664.6</v>
      </c>
      <c r="Q15" s="56">
        <f t="shared" si="2"/>
        <v>109765987.6</v>
      </c>
      <c r="R15" s="56">
        <f t="shared" si="2"/>
        <v>18127664.6</v>
      </c>
      <c r="S15" s="56">
        <f t="shared" si="2"/>
        <v>127893652.19999999</v>
      </c>
      <c r="T15" s="56">
        <f t="shared" si="2"/>
        <v>18127664.6</v>
      </c>
      <c r="U15" s="56">
        <f t="shared" si="2"/>
        <v>146021316.79999998</v>
      </c>
      <c r="V15" s="56">
        <f t="shared" si="2"/>
        <v>18127664.6</v>
      </c>
      <c r="W15" s="56">
        <f t="shared" si="2"/>
        <v>164148981.39999998</v>
      </c>
      <c r="X15" s="56">
        <f t="shared" si="2"/>
        <v>18127664.6</v>
      </c>
      <c r="Y15" s="56">
        <f t="shared" si="2"/>
        <v>182276645.99999997</v>
      </c>
      <c r="Z15" s="56">
        <f t="shared" si="2"/>
        <v>26127664.6</v>
      </c>
      <c r="AA15" s="56">
        <f t="shared" si="2"/>
        <v>208404310.6</v>
      </c>
      <c r="AB15" s="56">
        <f t="shared" si="2"/>
        <v>26127665.400000002</v>
      </c>
      <c r="AC15" s="56">
        <f t="shared" si="2"/>
        <v>234531976.00000003</v>
      </c>
      <c r="AD15" s="56">
        <f t="shared" si="2"/>
        <v>0</v>
      </c>
      <c r="AE15" s="15"/>
      <c r="AH15" s="15"/>
    </row>
    <row r="16" spans="1:36" ht="15.75" thickTop="1">
      <c r="A16" s="29"/>
      <c r="B16" s="57">
        <v>4311</v>
      </c>
      <c r="C16" s="8" t="s">
        <v>97</v>
      </c>
      <c r="D16" s="15">
        <f>+AC16</f>
        <v>184316.09</v>
      </c>
      <c r="E16" s="15">
        <f>+AC16</f>
        <v>184316.09</v>
      </c>
      <c r="F16" s="18">
        <v>58241.49</v>
      </c>
      <c r="G16" s="58">
        <f>+F16</f>
        <v>58241.49</v>
      </c>
      <c r="H16" s="18">
        <v>53533.49</v>
      </c>
      <c r="I16" s="58">
        <f>+G16+H16</f>
        <v>111774.98</v>
      </c>
      <c r="J16" s="18">
        <v>72541.11</v>
      </c>
      <c r="K16" s="58">
        <f>+I16+J16</f>
        <v>184316.09</v>
      </c>
      <c r="L16" s="18">
        <v>0</v>
      </c>
      <c r="M16" s="58">
        <f>+K16+L16</f>
        <v>184316.09</v>
      </c>
      <c r="N16" s="18">
        <v>0</v>
      </c>
      <c r="O16" s="58">
        <f>+M16+N16</f>
        <v>184316.09</v>
      </c>
      <c r="P16" s="18">
        <v>0</v>
      </c>
      <c r="Q16" s="58">
        <f>+O16+P16</f>
        <v>184316.09</v>
      </c>
      <c r="R16" s="18">
        <v>0</v>
      </c>
      <c r="S16" s="58">
        <f>+Q16+R16</f>
        <v>184316.09</v>
      </c>
      <c r="T16" s="18">
        <v>0</v>
      </c>
      <c r="U16" s="58">
        <f>+S16+T16</f>
        <v>184316.09</v>
      </c>
      <c r="V16" s="18">
        <v>0</v>
      </c>
      <c r="W16" s="58">
        <f>+U16+V16</f>
        <v>184316.09</v>
      </c>
      <c r="X16" s="18">
        <v>0</v>
      </c>
      <c r="Y16" s="58">
        <f>+W16+X16</f>
        <v>184316.09</v>
      </c>
      <c r="Z16" s="18">
        <v>0</v>
      </c>
      <c r="AA16" s="58">
        <f>+Y16+Z16</f>
        <v>184316.09</v>
      </c>
      <c r="AB16" s="18">
        <v>0</v>
      </c>
      <c r="AC16" s="58">
        <f>+AA16+AB16</f>
        <v>184316.09</v>
      </c>
      <c r="AD16" s="15">
        <f>+E16-AC16</f>
        <v>0</v>
      </c>
      <c r="AE16" s="98" t="s">
        <v>208</v>
      </c>
      <c r="AF16" s="98"/>
      <c r="AG16" s="98"/>
      <c r="AH16" s="98"/>
      <c r="AI16" s="98"/>
      <c r="AJ16" s="98"/>
    </row>
    <row r="17" spans="1:36" ht="15">
      <c r="A17" s="29"/>
      <c r="B17" s="57">
        <v>4399</v>
      </c>
      <c r="C17" s="8" t="s">
        <v>100</v>
      </c>
      <c r="D17" s="15">
        <f>+AC17</f>
        <v>281774.97000000003</v>
      </c>
      <c r="E17" s="15">
        <f>+AC17</f>
        <v>281774.97000000003</v>
      </c>
      <c r="F17" s="18">
        <f>69286.71-554.55</f>
        <v>68732.16</v>
      </c>
      <c r="G17" s="58">
        <f>+F17</f>
        <v>68732.16</v>
      </c>
      <c r="H17" s="18">
        <f>36645.51-1.6</f>
        <v>36643.91</v>
      </c>
      <c r="I17" s="58">
        <f>+G17+H17</f>
        <v>105376.07</v>
      </c>
      <c r="J17" s="18">
        <f>176400.48-1.58</f>
        <v>176398.90000000002</v>
      </c>
      <c r="K17" s="58">
        <f>+I17+J17</f>
        <v>281774.97000000003</v>
      </c>
      <c r="L17" s="18">
        <v>0</v>
      </c>
      <c r="M17" s="58">
        <f>+K17+L17</f>
        <v>281774.97000000003</v>
      </c>
      <c r="N17" s="18">
        <v>0</v>
      </c>
      <c r="O17" s="58">
        <f>+M17+N17</f>
        <v>281774.97000000003</v>
      </c>
      <c r="P17" s="18">
        <v>0</v>
      </c>
      <c r="Q17" s="58">
        <f>+O17+P17</f>
        <v>281774.97000000003</v>
      </c>
      <c r="R17" s="18">
        <v>0</v>
      </c>
      <c r="S17" s="58">
        <f>+Q17+R17</f>
        <v>281774.97000000003</v>
      </c>
      <c r="T17" s="18">
        <v>0</v>
      </c>
      <c r="U17" s="58">
        <f>+S17+T17</f>
        <v>281774.97000000003</v>
      </c>
      <c r="V17" s="18">
        <v>0</v>
      </c>
      <c r="W17" s="58">
        <f>+U17+V17</f>
        <v>281774.97000000003</v>
      </c>
      <c r="X17" s="18">
        <v>0</v>
      </c>
      <c r="Y17" s="58">
        <f>+W17+X17</f>
        <v>281774.97000000003</v>
      </c>
      <c r="Z17" s="18">
        <v>0</v>
      </c>
      <c r="AA17" s="58">
        <f>+Y17+Z17</f>
        <v>281774.97000000003</v>
      </c>
      <c r="AB17" s="18">
        <v>0</v>
      </c>
      <c r="AC17" s="58">
        <f>+AA17+AB17</f>
        <v>281774.97000000003</v>
      </c>
      <c r="AD17" s="15">
        <f>+E17-AC17</f>
        <v>0</v>
      </c>
      <c r="AE17" s="98" t="s">
        <v>208</v>
      </c>
      <c r="AF17" s="98"/>
      <c r="AG17" s="98"/>
      <c r="AH17" s="98"/>
      <c r="AI17" s="98"/>
      <c r="AJ17" s="98"/>
    </row>
    <row r="18" spans="1:30" ht="15">
      <c r="A18" s="29"/>
      <c r="B18" s="57">
        <v>4326</v>
      </c>
      <c r="C18" s="14" t="s">
        <v>22</v>
      </c>
      <c r="D18" s="15">
        <f>+AC18</f>
        <v>9000</v>
      </c>
      <c r="E18" s="15">
        <f>+AC18</f>
        <v>9000</v>
      </c>
      <c r="F18" s="18">
        <v>0</v>
      </c>
      <c r="G18" s="58">
        <f>+F18</f>
        <v>0</v>
      </c>
      <c r="H18" s="18">
        <v>0</v>
      </c>
      <c r="I18" s="58">
        <f>+G18+H18</f>
        <v>0</v>
      </c>
      <c r="J18" s="18">
        <v>9000</v>
      </c>
      <c r="K18" s="58">
        <f>+I18+J18</f>
        <v>9000</v>
      </c>
      <c r="L18" s="18">
        <v>0</v>
      </c>
      <c r="M18" s="58">
        <f>+K18+L18</f>
        <v>9000</v>
      </c>
      <c r="N18" s="18">
        <v>0</v>
      </c>
      <c r="O18" s="58">
        <f>+M18+N18</f>
        <v>9000</v>
      </c>
      <c r="P18" s="18">
        <v>0</v>
      </c>
      <c r="Q18" s="58">
        <f>+O18+P18</f>
        <v>9000</v>
      </c>
      <c r="R18" s="18">
        <v>0</v>
      </c>
      <c r="S18" s="58">
        <f>+Q18+R18</f>
        <v>9000</v>
      </c>
      <c r="T18" s="18">
        <v>0</v>
      </c>
      <c r="U18" s="58">
        <f>+S18+T18</f>
        <v>9000</v>
      </c>
      <c r="V18" s="18">
        <v>0</v>
      </c>
      <c r="W18" s="58">
        <f>+U18+V18</f>
        <v>9000</v>
      </c>
      <c r="X18" s="18">
        <v>0</v>
      </c>
      <c r="Y18" s="58">
        <f>+W18+X18</f>
        <v>9000</v>
      </c>
      <c r="Z18" s="18">
        <v>0</v>
      </c>
      <c r="AA18" s="58">
        <f>+Y18+Z18</f>
        <v>9000</v>
      </c>
      <c r="AB18" s="18">
        <v>0</v>
      </c>
      <c r="AC18" s="58">
        <f>+AA18+AB18</f>
        <v>9000</v>
      </c>
      <c r="AD18" s="15">
        <f>+E18-AC18</f>
        <v>0</v>
      </c>
    </row>
    <row r="19" spans="1:30" ht="15">
      <c r="A19" s="29"/>
      <c r="B19" s="57">
        <v>4176</v>
      </c>
      <c r="C19" s="14" t="s">
        <v>21</v>
      </c>
      <c r="D19" s="15">
        <f>+AC19</f>
        <v>0</v>
      </c>
      <c r="E19" s="15">
        <f>+AC19</f>
        <v>0</v>
      </c>
      <c r="F19" s="18">
        <v>0</v>
      </c>
      <c r="G19" s="58">
        <f>+F19</f>
        <v>0</v>
      </c>
      <c r="H19" s="18">
        <v>0</v>
      </c>
      <c r="I19" s="58">
        <f>+G19+H19</f>
        <v>0</v>
      </c>
      <c r="J19" s="18">
        <v>0</v>
      </c>
      <c r="K19" s="58">
        <f>+I19+J19</f>
        <v>0</v>
      </c>
      <c r="L19" s="18">
        <v>0</v>
      </c>
      <c r="M19" s="58">
        <f>+K19+L19</f>
        <v>0</v>
      </c>
      <c r="N19" s="18">
        <v>0</v>
      </c>
      <c r="O19" s="58">
        <f>+M19+N19</f>
        <v>0</v>
      </c>
      <c r="P19" s="18">
        <v>0</v>
      </c>
      <c r="Q19" s="58">
        <f>+O19+P19</f>
        <v>0</v>
      </c>
      <c r="R19" s="18">
        <v>0</v>
      </c>
      <c r="S19" s="58">
        <f>+Q19+R19</f>
        <v>0</v>
      </c>
      <c r="T19" s="18">
        <v>0</v>
      </c>
      <c r="U19" s="58">
        <f>+S19+T19</f>
        <v>0</v>
      </c>
      <c r="V19" s="18">
        <v>0</v>
      </c>
      <c r="W19" s="58">
        <f>+U19+V19</f>
        <v>0</v>
      </c>
      <c r="X19" s="18">
        <v>0</v>
      </c>
      <c r="Y19" s="58">
        <f>+W19+X19</f>
        <v>0</v>
      </c>
      <c r="Z19" s="18">
        <v>0</v>
      </c>
      <c r="AA19" s="58">
        <f>+Y19+Z19</f>
        <v>0</v>
      </c>
      <c r="AB19" s="18">
        <v>0</v>
      </c>
      <c r="AC19" s="58">
        <f>+AA19+AB19</f>
        <v>0</v>
      </c>
      <c r="AD19" s="15">
        <f>+E19-AC19</f>
        <v>0</v>
      </c>
    </row>
    <row r="20" spans="1:29" ht="15">
      <c r="A20" s="29"/>
      <c r="B20" s="14"/>
      <c r="C20" s="59"/>
      <c r="D20" s="18"/>
      <c r="E20" s="18"/>
      <c r="F20" s="18"/>
      <c r="G20" s="58"/>
      <c r="H20" s="18"/>
      <c r="I20" s="58"/>
      <c r="J20" s="18"/>
      <c r="K20" s="58"/>
      <c r="L20" s="18"/>
      <c r="M20" s="58"/>
      <c r="N20" s="18"/>
      <c r="O20" s="58"/>
      <c r="P20" s="18"/>
      <c r="Q20" s="58"/>
      <c r="R20" s="18"/>
      <c r="S20" s="58"/>
      <c r="T20" s="18"/>
      <c r="U20" s="58"/>
      <c r="V20" s="18"/>
      <c r="W20" s="58"/>
      <c r="X20" s="18"/>
      <c r="Y20" s="58"/>
      <c r="Z20" s="18"/>
      <c r="AA20" s="58"/>
      <c r="AB20" s="18"/>
      <c r="AC20" s="58"/>
    </row>
    <row r="21" spans="1:30" ht="16.5" customHeight="1" thickBot="1">
      <c r="A21" s="29"/>
      <c r="B21" s="14"/>
      <c r="C21" s="55" t="s">
        <v>70</v>
      </c>
      <c r="D21" s="60">
        <f>SUM(D15:D19)</f>
        <v>235007067.06000003</v>
      </c>
      <c r="E21" s="60">
        <f>SUM(E15:E19)</f>
        <v>235007067.06000003</v>
      </c>
      <c r="F21" s="60">
        <f aca="true" t="shared" si="3" ref="F21:K21">SUM(F15:F19)</f>
        <v>16860201.65</v>
      </c>
      <c r="G21" s="60">
        <f t="shared" si="3"/>
        <v>16860201.65</v>
      </c>
      <c r="H21" s="60">
        <f t="shared" si="3"/>
        <v>19612278.599999998</v>
      </c>
      <c r="I21" s="60">
        <f t="shared" si="3"/>
        <v>36472480.25</v>
      </c>
      <c r="J21" s="60">
        <f t="shared" si="3"/>
        <v>19385604.609999996</v>
      </c>
      <c r="K21" s="60">
        <f t="shared" si="3"/>
        <v>55858084.86000001</v>
      </c>
      <c r="L21" s="60">
        <f>SUM(L15:L19)</f>
        <v>18127664.6</v>
      </c>
      <c r="M21" s="60">
        <f>SUM(M15:M20)</f>
        <v>73985749.46</v>
      </c>
      <c r="N21" s="60">
        <f aca="true" t="shared" si="4" ref="N21:AD21">SUM(N15:N19)</f>
        <v>18127664.6</v>
      </c>
      <c r="O21" s="60">
        <f t="shared" si="4"/>
        <v>92113414.06</v>
      </c>
      <c r="P21" s="60">
        <f t="shared" si="4"/>
        <v>18127664.6</v>
      </c>
      <c r="Q21" s="60">
        <f t="shared" si="4"/>
        <v>110241078.66</v>
      </c>
      <c r="R21" s="60">
        <f t="shared" si="4"/>
        <v>18127664.6</v>
      </c>
      <c r="S21" s="60">
        <f t="shared" si="4"/>
        <v>128368743.25999999</v>
      </c>
      <c r="T21" s="60">
        <f t="shared" si="4"/>
        <v>18127664.6</v>
      </c>
      <c r="U21" s="60">
        <f t="shared" si="4"/>
        <v>146496407.85999998</v>
      </c>
      <c r="V21" s="60">
        <f t="shared" si="4"/>
        <v>18127664.6</v>
      </c>
      <c r="W21" s="60">
        <f t="shared" si="4"/>
        <v>164624072.45999998</v>
      </c>
      <c r="X21" s="60">
        <f t="shared" si="4"/>
        <v>18127664.6</v>
      </c>
      <c r="Y21" s="60">
        <f t="shared" si="4"/>
        <v>182751737.05999997</v>
      </c>
      <c r="Z21" s="60">
        <f t="shared" si="4"/>
        <v>26127664.6</v>
      </c>
      <c r="AA21" s="60">
        <f t="shared" si="4"/>
        <v>208879401.66</v>
      </c>
      <c r="AB21" s="60">
        <f t="shared" si="4"/>
        <v>26127665.400000002</v>
      </c>
      <c r="AC21" s="60">
        <f t="shared" si="4"/>
        <v>235007067.06000003</v>
      </c>
      <c r="AD21" s="60">
        <f t="shared" si="4"/>
        <v>0</v>
      </c>
    </row>
    <row r="22" spans="1:29" ht="15.75" thickTop="1">
      <c r="A22" s="29"/>
      <c r="B22" s="14"/>
      <c r="C22" s="14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</row>
    <row r="23" spans="1:30" ht="16.5" thickBot="1">
      <c r="A23" s="29"/>
      <c r="B23" s="61">
        <v>1000</v>
      </c>
      <c r="C23" s="144" t="s">
        <v>35</v>
      </c>
      <c r="D23" s="62">
        <f>+D25+D28+D31+D37+D44</f>
        <v>193447316.53000003</v>
      </c>
      <c r="E23" s="62">
        <f>+E25+E28+E31+E37+E44</f>
        <v>193447316.53</v>
      </c>
      <c r="F23" s="62">
        <f aca="true" t="shared" si="5" ref="F23:AD23">+F25+F28+F31+F37+F44</f>
        <v>13985038.91</v>
      </c>
      <c r="G23" s="62">
        <f t="shared" si="5"/>
        <v>13985038.91</v>
      </c>
      <c r="H23" s="62">
        <f>+H25+H28+H31+H37+H44</f>
        <v>17886089.66</v>
      </c>
      <c r="I23" s="62">
        <f t="shared" si="5"/>
        <v>31871128.57</v>
      </c>
      <c r="J23" s="62">
        <f>+J25+J28+J31+J37+J44</f>
        <v>16306990.72</v>
      </c>
      <c r="K23" s="62">
        <f t="shared" si="5"/>
        <v>48178119.29</v>
      </c>
      <c r="L23" s="62">
        <f t="shared" si="5"/>
        <v>14660706.91</v>
      </c>
      <c r="M23" s="62">
        <f t="shared" si="5"/>
        <v>62838826.2</v>
      </c>
      <c r="N23" s="62">
        <f>+N25+N28+N31+N37+N44</f>
        <v>14914314.8</v>
      </c>
      <c r="O23" s="62">
        <f t="shared" si="5"/>
        <v>77753141</v>
      </c>
      <c r="P23" s="62">
        <f>+P25+P28+P31+P37+P44</f>
        <v>16674701.600000001</v>
      </c>
      <c r="Q23" s="62">
        <f t="shared" si="5"/>
        <v>94427842.6</v>
      </c>
      <c r="R23" s="62">
        <f t="shared" si="5"/>
        <v>15901655.55</v>
      </c>
      <c r="S23" s="62">
        <f t="shared" si="5"/>
        <v>110329498.14999999</v>
      </c>
      <c r="T23" s="62">
        <f>+T25+T28+T31+T37+T44</f>
        <v>16703576.170000002</v>
      </c>
      <c r="U23" s="62">
        <f t="shared" si="5"/>
        <v>127033074.32</v>
      </c>
      <c r="V23" s="62">
        <f>+V25+V28+V31+V37+V44</f>
        <v>16482099.620000001</v>
      </c>
      <c r="W23" s="62">
        <f t="shared" si="5"/>
        <v>143515173.94</v>
      </c>
      <c r="X23" s="62">
        <f t="shared" si="5"/>
        <v>16812844.16</v>
      </c>
      <c r="Y23" s="62">
        <f t="shared" si="5"/>
        <v>160328018.1</v>
      </c>
      <c r="Z23" s="62">
        <f>+Z25+Z28+Z31+Z37+Z44</f>
        <v>16928436.560000002</v>
      </c>
      <c r="AA23" s="62">
        <f t="shared" si="5"/>
        <v>177256454.66</v>
      </c>
      <c r="AB23" s="62">
        <f>+AB25+AB28+AB31+AB37+AB44</f>
        <v>16190861.870000001</v>
      </c>
      <c r="AC23" s="62">
        <f t="shared" si="5"/>
        <v>193447316.53</v>
      </c>
      <c r="AD23" s="62">
        <f t="shared" si="5"/>
        <v>0</v>
      </c>
    </row>
    <row r="24" spans="1:30" ht="16.5" thickTop="1">
      <c r="A24" s="29"/>
      <c r="B24" s="63"/>
      <c r="C24" s="64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65"/>
    </row>
    <row r="25" spans="1:30" ht="15.75">
      <c r="A25" s="29"/>
      <c r="B25" s="63">
        <v>1100</v>
      </c>
      <c r="C25" s="67" t="s">
        <v>181</v>
      </c>
      <c r="D25" s="68">
        <f>SUM(D26:D26)</f>
        <v>32732725.440000005</v>
      </c>
      <c r="E25" s="68">
        <f>SUM(E26:E26)</f>
        <v>32880325.44</v>
      </c>
      <c r="F25" s="68">
        <f aca="true" t="shared" si="6" ref="F25:AD25">SUM(F26:F26)</f>
        <v>2693327.12</v>
      </c>
      <c r="G25" s="68">
        <f t="shared" si="6"/>
        <v>2693327.12</v>
      </c>
      <c r="H25" s="68">
        <f t="shared" si="6"/>
        <v>2828727.12</v>
      </c>
      <c r="I25" s="68">
        <f t="shared" si="6"/>
        <v>5522054.24</v>
      </c>
      <c r="J25" s="68">
        <f t="shared" si="6"/>
        <v>2808727.12</v>
      </c>
      <c r="K25" s="68">
        <f t="shared" si="6"/>
        <v>8330781.36</v>
      </c>
      <c r="L25" s="68">
        <f t="shared" si="6"/>
        <v>2727727.119999999</v>
      </c>
      <c r="M25" s="68">
        <f t="shared" si="6"/>
        <v>11058508.48</v>
      </c>
      <c r="N25" s="68">
        <f t="shared" si="6"/>
        <v>2727727.119999999</v>
      </c>
      <c r="O25" s="68">
        <f t="shared" si="6"/>
        <v>13786235.6</v>
      </c>
      <c r="P25" s="68">
        <f t="shared" si="6"/>
        <v>2727727.119999999</v>
      </c>
      <c r="Q25" s="68">
        <f t="shared" si="6"/>
        <v>16513962.719999999</v>
      </c>
      <c r="R25" s="68">
        <f t="shared" si="6"/>
        <v>2727727.119999999</v>
      </c>
      <c r="S25" s="68">
        <f t="shared" si="6"/>
        <v>19241689.839999996</v>
      </c>
      <c r="T25" s="68">
        <f t="shared" si="6"/>
        <v>2727727.119999999</v>
      </c>
      <c r="U25" s="68">
        <f t="shared" si="6"/>
        <v>21969416.959999993</v>
      </c>
      <c r="V25" s="68">
        <f t="shared" si="6"/>
        <v>2727727.119999999</v>
      </c>
      <c r="W25" s="68">
        <f t="shared" si="6"/>
        <v>24697144.07999999</v>
      </c>
      <c r="X25" s="68">
        <f t="shared" si="6"/>
        <v>2727727.119999999</v>
      </c>
      <c r="Y25" s="68">
        <f t="shared" si="6"/>
        <v>27424871.199999988</v>
      </c>
      <c r="Z25" s="68">
        <f t="shared" si="6"/>
        <v>2727727.119999999</v>
      </c>
      <c r="AA25" s="68">
        <f t="shared" si="6"/>
        <v>30152598.319999985</v>
      </c>
      <c r="AB25" s="68">
        <f t="shared" si="6"/>
        <v>2727727.119999999</v>
      </c>
      <c r="AC25" s="68">
        <f t="shared" si="6"/>
        <v>32880325.439999983</v>
      </c>
      <c r="AD25" s="68">
        <f t="shared" si="6"/>
        <v>0</v>
      </c>
    </row>
    <row r="26" spans="1:31" ht="15.75">
      <c r="A26" s="29"/>
      <c r="B26" s="57">
        <v>1131</v>
      </c>
      <c r="C26" s="14" t="s">
        <v>101</v>
      </c>
      <c r="D26" s="18">
        <v>32732725.440000005</v>
      </c>
      <c r="E26" s="286">
        <f>32732725.44+108600-143000+101000+81000</f>
        <v>32880325.44</v>
      </c>
      <c r="F26" s="286">
        <f>2727727.12+108600-143000</f>
        <v>2693327.12</v>
      </c>
      <c r="G26" s="58">
        <f>+F26</f>
        <v>2693327.12</v>
      </c>
      <c r="H26" s="286">
        <f>2727727.12+101000</f>
        <v>2828727.12</v>
      </c>
      <c r="I26" s="58">
        <f>+G26+H26</f>
        <v>5522054.24</v>
      </c>
      <c r="J26" s="286">
        <f>2727727.12+81000</f>
        <v>2808727.12</v>
      </c>
      <c r="K26" s="58">
        <f>+I26+J26</f>
        <v>8330781.36</v>
      </c>
      <c r="L26" s="18">
        <v>2727727.119999999</v>
      </c>
      <c r="M26" s="58">
        <f>+K26+L26</f>
        <v>11058508.48</v>
      </c>
      <c r="N26" s="18">
        <v>2727727.119999999</v>
      </c>
      <c r="O26" s="58">
        <f>+M26+N26</f>
        <v>13786235.6</v>
      </c>
      <c r="P26" s="18">
        <v>2727727.119999999</v>
      </c>
      <c r="Q26" s="58">
        <f>+O26+P26</f>
        <v>16513962.719999999</v>
      </c>
      <c r="R26" s="18">
        <v>2727727.119999999</v>
      </c>
      <c r="S26" s="58">
        <f>+Q26+R26</f>
        <v>19241689.839999996</v>
      </c>
      <c r="T26" s="18">
        <v>2727727.119999999</v>
      </c>
      <c r="U26" s="58">
        <f>+S26+T26</f>
        <v>21969416.959999993</v>
      </c>
      <c r="V26" s="18">
        <v>2727727.119999999</v>
      </c>
      <c r="W26" s="58">
        <f>+U26+V26</f>
        <v>24697144.07999999</v>
      </c>
      <c r="X26" s="18">
        <v>2727727.119999999</v>
      </c>
      <c r="Y26" s="58">
        <f>+W26+X26</f>
        <v>27424871.199999988</v>
      </c>
      <c r="Z26" s="18">
        <v>2727727.119999999</v>
      </c>
      <c r="AA26" s="58">
        <f>+Y26+Z26</f>
        <v>30152598.319999985</v>
      </c>
      <c r="AB26" s="18">
        <v>2727727.119999999</v>
      </c>
      <c r="AC26" s="15">
        <f>+AA26+AB26</f>
        <v>32880325.439999983</v>
      </c>
      <c r="AD26" s="15">
        <f>+E26-AC26</f>
        <v>0</v>
      </c>
      <c r="AE26" s="15"/>
    </row>
    <row r="27" spans="1:29" ht="15">
      <c r="A27" s="29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</row>
    <row r="28" spans="1:30" ht="15.75">
      <c r="A28" s="29"/>
      <c r="B28" s="69">
        <v>1200</v>
      </c>
      <c r="C28" s="67" t="s">
        <v>182</v>
      </c>
      <c r="D28" s="68">
        <f aca="true" t="shared" si="7" ref="D28:AD28">SUM(D29:D29)</f>
        <v>5038758.53</v>
      </c>
      <c r="E28" s="68">
        <f t="shared" si="7"/>
        <v>5259162.5</v>
      </c>
      <c r="F28" s="68">
        <f t="shared" si="7"/>
        <v>398620.28</v>
      </c>
      <c r="G28" s="68">
        <f t="shared" si="7"/>
        <v>398620.28</v>
      </c>
      <c r="H28" s="68">
        <f t="shared" si="7"/>
        <v>481590.28</v>
      </c>
      <c r="I28" s="68">
        <f t="shared" si="7"/>
        <v>880210.56</v>
      </c>
      <c r="J28" s="68">
        <f t="shared" si="7"/>
        <v>424964.25</v>
      </c>
      <c r="K28" s="68">
        <f t="shared" si="7"/>
        <v>1305174.81</v>
      </c>
      <c r="L28" s="68">
        <f t="shared" si="7"/>
        <v>361590.27999999997</v>
      </c>
      <c r="M28" s="68">
        <f t="shared" si="7"/>
        <v>1666765.09</v>
      </c>
      <c r="N28" s="68">
        <f t="shared" si="7"/>
        <v>361590.27999999997</v>
      </c>
      <c r="O28" s="68">
        <f t="shared" si="7"/>
        <v>2028355.37</v>
      </c>
      <c r="P28" s="68">
        <f t="shared" si="7"/>
        <v>361590.27999999997</v>
      </c>
      <c r="Q28" s="68">
        <f t="shared" si="7"/>
        <v>2389945.65</v>
      </c>
      <c r="R28" s="68">
        <f t="shared" si="7"/>
        <v>361590.27999999997</v>
      </c>
      <c r="S28" s="68">
        <f t="shared" si="7"/>
        <v>2751535.9299999997</v>
      </c>
      <c r="T28" s="68">
        <f t="shared" si="7"/>
        <v>361590.27999999997</v>
      </c>
      <c r="U28" s="68">
        <f t="shared" si="7"/>
        <v>3113126.2099999995</v>
      </c>
      <c r="V28" s="68">
        <f t="shared" si="7"/>
        <v>361590.27999999997</v>
      </c>
      <c r="W28" s="68">
        <f t="shared" si="7"/>
        <v>3474716.4899999993</v>
      </c>
      <c r="X28" s="68">
        <f t="shared" si="7"/>
        <v>361590.27999999997</v>
      </c>
      <c r="Y28" s="68">
        <f t="shared" si="7"/>
        <v>3836306.769999999</v>
      </c>
      <c r="Z28" s="68">
        <f t="shared" si="7"/>
        <v>361590.27999999997</v>
      </c>
      <c r="AA28" s="68">
        <f t="shared" si="7"/>
        <v>4197897.049999999</v>
      </c>
      <c r="AB28" s="68">
        <f t="shared" si="7"/>
        <v>1061265.45</v>
      </c>
      <c r="AC28" s="68">
        <f t="shared" si="7"/>
        <v>5259162.499999999</v>
      </c>
      <c r="AD28" s="68">
        <f t="shared" si="7"/>
        <v>0</v>
      </c>
    </row>
    <row r="29" spans="1:31" ht="15.75">
      <c r="A29" s="29"/>
      <c r="B29" s="57">
        <v>1211</v>
      </c>
      <c r="C29" s="14" t="s">
        <v>202</v>
      </c>
      <c r="D29" s="18">
        <v>5038758.53</v>
      </c>
      <c r="E29" s="286">
        <f>5038758.53+94030-57000+120000+63373.97</f>
        <v>5259162.5</v>
      </c>
      <c r="F29" s="286">
        <f>361590.28+94030-57000</f>
        <v>398620.28</v>
      </c>
      <c r="G29" s="58">
        <f>+F29</f>
        <v>398620.28</v>
      </c>
      <c r="H29" s="286">
        <f>361590.28+120000</f>
        <v>481590.28</v>
      </c>
      <c r="I29" s="58">
        <f>+G29+H29</f>
        <v>880210.56</v>
      </c>
      <c r="J29" s="286">
        <f>361590.28+63373.97</f>
        <v>424964.25</v>
      </c>
      <c r="K29" s="58">
        <f>+I29+J29</f>
        <v>1305174.81</v>
      </c>
      <c r="L29" s="18">
        <v>361590.27999999997</v>
      </c>
      <c r="M29" s="58">
        <f>+K29+L29</f>
        <v>1666765.09</v>
      </c>
      <c r="N29" s="18">
        <v>361590.27999999997</v>
      </c>
      <c r="O29" s="58">
        <f>+M29+N29</f>
        <v>2028355.37</v>
      </c>
      <c r="P29" s="18">
        <v>361590.27999999997</v>
      </c>
      <c r="Q29" s="58">
        <f>+O29+P29</f>
        <v>2389945.65</v>
      </c>
      <c r="R29" s="18">
        <v>361590.27999999997</v>
      </c>
      <c r="S29" s="58">
        <f>+Q29+R29</f>
        <v>2751535.9299999997</v>
      </c>
      <c r="T29" s="18">
        <v>361590.27999999997</v>
      </c>
      <c r="U29" s="58">
        <f>+S29+T29</f>
        <v>3113126.2099999995</v>
      </c>
      <c r="V29" s="18">
        <v>361590.27999999997</v>
      </c>
      <c r="W29" s="58">
        <f>+U29+V29</f>
        <v>3474716.4899999993</v>
      </c>
      <c r="X29" s="18">
        <v>361590.27999999997</v>
      </c>
      <c r="Y29" s="58">
        <f>+W29+X29</f>
        <v>3836306.769999999</v>
      </c>
      <c r="Z29" s="18">
        <v>361590.27999999997</v>
      </c>
      <c r="AA29" s="58">
        <f>+Y29+Z29</f>
        <v>4197897.049999999</v>
      </c>
      <c r="AB29" s="18">
        <v>1061265.45</v>
      </c>
      <c r="AC29" s="15">
        <f>+AA29+AB29</f>
        <v>5259162.499999999</v>
      </c>
      <c r="AD29" s="15">
        <f>+E29-AC29</f>
        <v>0</v>
      </c>
      <c r="AE29" s="15"/>
    </row>
    <row r="30" spans="1:29" ht="15">
      <c r="A30" s="29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1:30" ht="15.75">
      <c r="A31" s="29"/>
      <c r="B31" s="69">
        <v>1300</v>
      </c>
      <c r="C31" s="67" t="s">
        <v>15</v>
      </c>
      <c r="D31" s="70">
        <f>SUM(D32:D35)</f>
        <v>23987064.840000004</v>
      </c>
      <c r="E31" s="70">
        <f>SUM(E32:E35)</f>
        <v>24041974.84</v>
      </c>
      <c r="F31" s="70">
        <f>SUM(F32:F35)</f>
        <v>15630.95</v>
      </c>
      <c r="G31" s="70">
        <f aca="true" t="shared" si="8" ref="G31:AC31">SUM(G32:G35)</f>
        <v>15630.95</v>
      </c>
      <c r="H31" s="70">
        <f>SUM(H32:H35)</f>
        <v>3791444.8600000003</v>
      </c>
      <c r="I31" s="70">
        <f t="shared" si="8"/>
        <v>3807075.81</v>
      </c>
      <c r="J31" s="70">
        <f>SUM(J32:J35)</f>
        <v>2243609.3400000003</v>
      </c>
      <c r="K31" s="70">
        <f t="shared" si="8"/>
        <v>6050685.15</v>
      </c>
      <c r="L31" s="70">
        <f>SUM(L32:L35)</f>
        <v>597325.53</v>
      </c>
      <c r="M31" s="70">
        <f t="shared" si="8"/>
        <v>6648010.680000001</v>
      </c>
      <c r="N31" s="70">
        <f>SUM(N32:N35)</f>
        <v>850933.42</v>
      </c>
      <c r="O31" s="70">
        <f t="shared" si="8"/>
        <v>7498944.100000001</v>
      </c>
      <c r="P31" s="70">
        <f>SUM(P32:P35)</f>
        <v>2611320.2199999993</v>
      </c>
      <c r="Q31" s="70">
        <f t="shared" si="8"/>
        <v>10110264.319999998</v>
      </c>
      <c r="R31" s="70">
        <f>SUM(R32:R35)</f>
        <v>1838274.17</v>
      </c>
      <c r="S31" s="70">
        <f t="shared" si="8"/>
        <v>11948538.489999998</v>
      </c>
      <c r="T31" s="70">
        <f>SUM(T32:T35)</f>
        <v>2640194.790000001</v>
      </c>
      <c r="U31" s="70">
        <f t="shared" si="8"/>
        <v>14588733.280000001</v>
      </c>
      <c r="V31" s="70">
        <f>SUM(V32:V35)</f>
        <v>2418718.24</v>
      </c>
      <c r="W31" s="70">
        <f t="shared" si="8"/>
        <v>17007451.52</v>
      </c>
      <c r="X31" s="70">
        <f>SUM(X32:X35)</f>
        <v>2749462.78</v>
      </c>
      <c r="Y31" s="70">
        <f t="shared" si="8"/>
        <v>19756914.299999997</v>
      </c>
      <c r="Z31" s="70">
        <f>SUM(Z32:Z35)</f>
        <v>2750773.0300000007</v>
      </c>
      <c r="AA31" s="70">
        <f t="shared" si="8"/>
        <v>22507687.33</v>
      </c>
      <c r="AB31" s="70">
        <f>SUM(AB32:AB35)</f>
        <v>1534287.5099999998</v>
      </c>
      <c r="AC31" s="70">
        <f t="shared" si="8"/>
        <v>24041974.84</v>
      </c>
      <c r="AD31" s="70">
        <f>SUM(AD32:AD35)</f>
        <v>0</v>
      </c>
    </row>
    <row r="32" spans="1:31" ht="15.75">
      <c r="A32" s="29"/>
      <c r="B32" s="57">
        <v>1311</v>
      </c>
      <c r="C32" s="26" t="s">
        <v>102</v>
      </c>
      <c r="D32" s="18">
        <v>20651.4</v>
      </c>
      <c r="E32" s="286">
        <f>20651.4+11910</f>
        <v>32561.4</v>
      </c>
      <c r="F32" s="286">
        <f>1720.95+11910</f>
        <v>13630.95</v>
      </c>
      <c r="G32" s="58">
        <f>+F32</f>
        <v>13630.95</v>
      </c>
      <c r="H32" s="18">
        <v>1720.95</v>
      </c>
      <c r="I32" s="58">
        <f>+G32+H32</f>
        <v>15351.900000000001</v>
      </c>
      <c r="J32" s="18">
        <v>1720.95</v>
      </c>
      <c r="K32" s="58">
        <f>+I32+J32</f>
        <v>17072.850000000002</v>
      </c>
      <c r="L32" s="18">
        <v>1720.95</v>
      </c>
      <c r="M32" s="58">
        <f>+K32+L32</f>
        <v>18793.800000000003</v>
      </c>
      <c r="N32" s="18">
        <v>1720.95</v>
      </c>
      <c r="O32" s="58">
        <f>+M32+N32</f>
        <v>20514.750000000004</v>
      </c>
      <c r="P32" s="18">
        <v>1720.95</v>
      </c>
      <c r="Q32" s="58">
        <f>+O32+P32</f>
        <v>22235.700000000004</v>
      </c>
      <c r="R32" s="18">
        <v>1720.95</v>
      </c>
      <c r="S32" s="58">
        <f>+Q32+R32</f>
        <v>23956.650000000005</v>
      </c>
      <c r="T32" s="18">
        <v>1720.95</v>
      </c>
      <c r="U32" s="58">
        <f>+S32+T32</f>
        <v>25677.600000000006</v>
      </c>
      <c r="V32" s="18">
        <v>1720.95</v>
      </c>
      <c r="W32" s="58">
        <f>+U32+V32</f>
        <v>27398.550000000007</v>
      </c>
      <c r="X32" s="18">
        <v>1720.95</v>
      </c>
      <c r="Y32" s="58">
        <f>+W32+X32</f>
        <v>29119.500000000007</v>
      </c>
      <c r="Z32" s="18">
        <v>1720.95</v>
      </c>
      <c r="AA32" s="58">
        <f>+Y32+Z32</f>
        <v>30840.450000000008</v>
      </c>
      <c r="AB32" s="18">
        <v>1720.95</v>
      </c>
      <c r="AC32" s="15">
        <f>+AA32+AB32</f>
        <v>32561.40000000001</v>
      </c>
      <c r="AD32" s="15">
        <f>+E32-AC32</f>
        <v>0</v>
      </c>
      <c r="AE32" s="15"/>
    </row>
    <row r="33" spans="1:31" ht="15.75">
      <c r="A33" s="29"/>
      <c r="B33" s="57">
        <v>1321</v>
      </c>
      <c r="C33" s="14" t="s">
        <v>103</v>
      </c>
      <c r="D33" s="18">
        <v>3065133.1199999996</v>
      </c>
      <c r="E33" s="286">
        <f>3065133.12+2000+21000</f>
        <v>3088133.12</v>
      </c>
      <c r="F33" s="286">
        <f>0+2000</f>
        <v>2000</v>
      </c>
      <c r="G33" s="58">
        <f>+F33</f>
        <v>2000</v>
      </c>
      <c r="H33" s="286">
        <f>0+21000</f>
        <v>21000</v>
      </c>
      <c r="I33" s="58">
        <f>+G33+H33</f>
        <v>23000</v>
      </c>
      <c r="J33" s="18">
        <v>0</v>
      </c>
      <c r="K33" s="58">
        <f>+I33+J33</f>
        <v>23000</v>
      </c>
      <c r="L33" s="18">
        <v>0</v>
      </c>
      <c r="M33" s="58">
        <f>+K33+L33</f>
        <v>23000</v>
      </c>
      <c r="N33" s="18">
        <v>0</v>
      </c>
      <c r="O33" s="58">
        <f>+M33+N33</f>
        <v>23000</v>
      </c>
      <c r="P33" s="18">
        <v>0</v>
      </c>
      <c r="Q33" s="58">
        <f>+O33+P33</f>
        <v>23000</v>
      </c>
      <c r="R33" s="18">
        <v>1532566.5599999998</v>
      </c>
      <c r="S33" s="58">
        <f>+Q33+R33</f>
        <v>1555566.5599999998</v>
      </c>
      <c r="T33" s="18">
        <v>0</v>
      </c>
      <c r="U33" s="58">
        <f>+S33+T33</f>
        <v>1555566.5599999998</v>
      </c>
      <c r="V33" s="18">
        <v>0</v>
      </c>
      <c r="W33" s="58">
        <f>+U33+V33</f>
        <v>1555566.5599999998</v>
      </c>
      <c r="X33" s="18">
        <v>0</v>
      </c>
      <c r="Y33" s="58">
        <f>+W33+X33</f>
        <v>1555566.5599999998</v>
      </c>
      <c r="Z33" s="18">
        <v>0</v>
      </c>
      <c r="AA33" s="58">
        <f>+Y33+Z33</f>
        <v>1555566.5599999998</v>
      </c>
      <c r="AB33" s="18">
        <v>1532566.5599999998</v>
      </c>
      <c r="AC33" s="15">
        <f>+AA33+AB33</f>
        <v>3088133.1199999996</v>
      </c>
      <c r="AD33" s="15">
        <f>+E33-AC33</f>
        <v>0</v>
      </c>
      <c r="AE33" s="15"/>
    </row>
    <row r="34" spans="1:31" ht="15.75">
      <c r="A34" s="29"/>
      <c r="B34" s="57">
        <v>1323</v>
      </c>
      <c r="C34" s="14" t="s">
        <v>55</v>
      </c>
      <c r="D34" s="18">
        <v>20901280.320000004</v>
      </c>
      <c r="E34" s="286">
        <f>20901280.32+20000</f>
        <v>20921280.32</v>
      </c>
      <c r="F34" s="18">
        <v>0</v>
      </c>
      <c r="G34" s="58">
        <f>+F34</f>
        <v>0</v>
      </c>
      <c r="H34" s="286">
        <f>3748723.91+20000</f>
        <v>3768723.91</v>
      </c>
      <c r="I34" s="58">
        <f>+G34+H34</f>
        <v>3768723.91</v>
      </c>
      <c r="J34" s="18">
        <v>2241888.39</v>
      </c>
      <c r="K34" s="58">
        <f>+I34+J34</f>
        <v>6010612.300000001</v>
      </c>
      <c r="L34" s="18">
        <v>595604.5800000001</v>
      </c>
      <c r="M34" s="58">
        <f>+K34+L34</f>
        <v>6606216.880000001</v>
      </c>
      <c r="N34" s="18">
        <v>849212.4700000001</v>
      </c>
      <c r="O34" s="58">
        <f>+M34+N34</f>
        <v>7455429.350000001</v>
      </c>
      <c r="P34" s="18">
        <v>2609599.269999999</v>
      </c>
      <c r="Q34" s="58">
        <f>+O34+P34</f>
        <v>10065028.62</v>
      </c>
      <c r="R34" s="18">
        <v>303986.66000000003</v>
      </c>
      <c r="S34" s="58">
        <f>+Q34+R34</f>
        <v>10369015.28</v>
      </c>
      <c r="T34" s="18">
        <v>2638473.840000001</v>
      </c>
      <c r="U34" s="58">
        <f>+S34+T34</f>
        <v>13007489.120000001</v>
      </c>
      <c r="V34" s="18">
        <v>2416997.29</v>
      </c>
      <c r="W34" s="58">
        <f>+U34+V34</f>
        <v>15424486.41</v>
      </c>
      <c r="X34" s="18">
        <v>2747741.8299999996</v>
      </c>
      <c r="Y34" s="58">
        <f>+W34+X34</f>
        <v>18172228.24</v>
      </c>
      <c r="Z34" s="18">
        <v>2749052.0800000005</v>
      </c>
      <c r="AA34" s="58">
        <f>+Y34+Z34</f>
        <v>20921280.32</v>
      </c>
      <c r="AB34" s="18">
        <v>0</v>
      </c>
      <c r="AC34" s="15">
        <f>+AA34+AB34</f>
        <v>20921280.32</v>
      </c>
      <c r="AD34" s="15">
        <f>+E34-AC34</f>
        <v>0</v>
      </c>
      <c r="AE34" s="15"/>
    </row>
    <row r="35" spans="1:31" ht="15">
      <c r="A35" s="29"/>
      <c r="B35" s="57">
        <v>1342</v>
      </c>
      <c r="C35" s="14" t="s">
        <v>23</v>
      </c>
      <c r="D35" s="18">
        <v>0</v>
      </c>
      <c r="E35" s="18">
        <v>0</v>
      </c>
      <c r="F35" s="18">
        <v>0</v>
      </c>
      <c r="G35" s="58">
        <f>+F35</f>
        <v>0</v>
      </c>
      <c r="H35" s="18">
        <v>0</v>
      </c>
      <c r="I35" s="58">
        <f>+G35+H35</f>
        <v>0</v>
      </c>
      <c r="J35" s="18">
        <v>0</v>
      </c>
      <c r="K35" s="58">
        <f>+I35+J35</f>
        <v>0</v>
      </c>
      <c r="L35" s="18">
        <v>0</v>
      </c>
      <c r="M35" s="58">
        <f>+K35+L35</f>
        <v>0</v>
      </c>
      <c r="N35" s="18">
        <v>0</v>
      </c>
      <c r="O35" s="58">
        <f>+M35+N35</f>
        <v>0</v>
      </c>
      <c r="P35" s="18">
        <v>0</v>
      </c>
      <c r="Q35" s="58">
        <f>+O35+P35</f>
        <v>0</v>
      </c>
      <c r="R35" s="18">
        <v>0</v>
      </c>
      <c r="S35" s="58">
        <f>+Q35+R35</f>
        <v>0</v>
      </c>
      <c r="T35" s="18">
        <v>0</v>
      </c>
      <c r="U35" s="58">
        <f>+S35+T35</f>
        <v>0</v>
      </c>
      <c r="V35" s="18">
        <v>0</v>
      </c>
      <c r="W35" s="58">
        <f>+U35+V35</f>
        <v>0</v>
      </c>
      <c r="X35" s="18">
        <v>0</v>
      </c>
      <c r="Y35" s="58">
        <f>+W35+X35</f>
        <v>0</v>
      </c>
      <c r="Z35" s="18">
        <v>0</v>
      </c>
      <c r="AA35" s="58">
        <f>+Y35+Z35</f>
        <v>0</v>
      </c>
      <c r="AB35" s="18">
        <v>0</v>
      </c>
      <c r="AC35" s="15">
        <f>+AA35+AB35</f>
        <v>0</v>
      </c>
      <c r="AD35" s="15">
        <f>+E35-AC35</f>
        <v>0</v>
      </c>
      <c r="AE35" s="15"/>
    </row>
    <row r="36" spans="1:29" ht="15">
      <c r="A36" s="29"/>
      <c r="B36" s="66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1:32" ht="15.75">
      <c r="A37" s="29"/>
      <c r="B37" s="69">
        <v>1400</v>
      </c>
      <c r="C37" s="67" t="s">
        <v>183</v>
      </c>
      <c r="D37" s="71">
        <f>SUM(D38:D42)</f>
        <v>12698605.039999997</v>
      </c>
      <c r="E37" s="71">
        <f>SUM(E38:E42)</f>
        <v>12780805.04</v>
      </c>
      <c r="F37" s="71">
        <f>SUM(F38:F42)</f>
        <v>1095417.09</v>
      </c>
      <c r="G37" s="71">
        <f aca="true" t="shared" si="9" ref="G37:AC37">SUM(G38:G42)</f>
        <v>1095417.09</v>
      </c>
      <c r="H37" s="71">
        <f>SUM(H38:H42)</f>
        <v>1064717.09</v>
      </c>
      <c r="I37" s="71">
        <f t="shared" si="9"/>
        <v>2160134.18</v>
      </c>
      <c r="J37" s="71">
        <f>SUM(J38:J42)</f>
        <v>1096717.09</v>
      </c>
      <c r="K37" s="71">
        <f t="shared" si="9"/>
        <v>3256851.2699999996</v>
      </c>
      <c r="L37" s="71">
        <f>SUM(L38:L42)</f>
        <v>1058217.0899999999</v>
      </c>
      <c r="M37" s="71">
        <f t="shared" si="9"/>
        <v>4315068.359999999</v>
      </c>
      <c r="N37" s="71">
        <f>SUM(N38:N42)</f>
        <v>1058217.0899999999</v>
      </c>
      <c r="O37" s="71">
        <f t="shared" si="9"/>
        <v>5373285.449999999</v>
      </c>
      <c r="P37" s="71">
        <f>SUM(P38:P42)</f>
        <v>1058217.0899999999</v>
      </c>
      <c r="Q37" s="71">
        <f t="shared" si="9"/>
        <v>6431502.539999999</v>
      </c>
      <c r="R37" s="71">
        <f>SUM(R38:R42)</f>
        <v>1058217.0899999999</v>
      </c>
      <c r="S37" s="71">
        <f t="shared" si="9"/>
        <v>7489719.629999999</v>
      </c>
      <c r="T37" s="71">
        <f>SUM(T38:T42)</f>
        <v>1058217.0899999999</v>
      </c>
      <c r="U37" s="71">
        <f t="shared" si="9"/>
        <v>8547936.719999999</v>
      </c>
      <c r="V37" s="71">
        <f>SUM(V38:V42)</f>
        <v>1058217.0899999999</v>
      </c>
      <c r="W37" s="71">
        <f t="shared" si="9"/>
        <v>9606153.809999999</v>
      </c>
      <c r="X37" s="71">
        <f>SUM(X38:X42)</f>
        <v>1058217.0899999999</v>
      </c>
      <c r="Y37" s="71">
        <f t="shared" si="9"/>
        <v>10664370.899999999</v>
      </c>
      <c r="Z37" s="71">
        <f>SUM(Z38:Z42)</f>
        <v>1058217.0899999999</v>
      </c>
      <c r="AA37" s="71">
        <f t="shared" si="9"/>
        <v>11722587.989999998</v>
      </c>
      <c r="AB37" s="71">
        <f>SUM(AB38:AB42)</f>
        <v>1058217.0499999998</v>
      </c>
      <c r="AC37" s="71">
        <f t="shared" si="9"/>
        <v>12780805.04</v>
      </c>
      <c r="AD37" s="70">
        <f>SUM(AD38:AD42)</f>
        <v>0</v>
      </c>
      <c r="AF37" s="40"/>
    </row>
    <row r="38" spans="1:31" ht="15.75">
      <c r="A38" s="29"/>
      <c r="B38" s="57">
        <v>1411</v>
      </c>
      <c r="C38" s="14" t="s">
        <v>104</v>
      </c>
      <c r="D38" s="18">
        <v>4237610.76</v>
      </c>
      <c r="E38" s="286">
        <f>4237610.76+32600-10000+5500+15000</f>
        <v>4280710.76</v>
      </c>
      <c r="F38" s="286">
        <f>353134.23+32600-10000</f>
        <v>375734.23</v>
      </c>
      <c r="G38" s="58">
        <f>+F38</f>
        <v>375734.23</v>
      </c>
      <c r="H38" s="286">
        <f>353134.23+5500</f>
        <v>358634.23</v>
      </c>
      <c r="I38" s="58">
        <f>+G38+H38</f>
        <v>734368.46</v>
      </c>
      <c r="J38" s="286">
        <f>353134.23+15000</f>
        <v>368134.23</v>
      </c>
      <c r="K38" s="58">
        <f>+I38+J38</f>
        <v>1102502.69</v>
      </c>
      <c r="L38" s="18">
        <v>353134.2299999998</v>
      </c>
      <c r="M38" s="58">
        <f>+K38+L38</f>
        <v>1455636.9199999997</v>
      </c>
      <c r="N38" s="18">
        <v>353134.2299999998</v>
      </c>
      <c r="O38" s="58">
        <f>+M38+N38</f>
        <v>1808771.1499999994</v>
      </c>
      <c r="P38" s="18">
        <v>353134.2299999998</v>
      </c>
      <c r="Q38" s="58">
        <f>+O38+P38</f>
        <v>2161905.3799999994</v>
      </c>
      <c r="R38" s="18">
        <v>353134.2299999998</v>
      </c>
      <c r="S38" s="58">
        <f>+Q38+R38</f>
        <v>2515039.6099999994</v>
      </c>
      <c r="T38" s="18">
        <v>353134.2299999998</v>
      </c>
      <c r="U38" s="58">
        <f>+S38+T38</f>
        <v>2868173.8399999994</v>
      </c>
      <c r="V38" s="18">
        <v>353134.2299999998</v>
      </c>
      <c r="W38" s="58">
        <f>+U38+V38</f>
        <v>3221308.0699999994</v>
      </c>
      <c r="X38" s="18">
        <v>353134.2299999998</v>
      </c>
      <c r="Y38" s="58">
        <f>+W38+X38</f>
        <v>3574442.2999999993</v>
      </c>
      <c r="Z38" s="18">
        <v>353134.2299999998</v>
      </c>
      <c r="AA38" s="58">
        <f>+Y38+Z38</f>
        <v>3927576.5299999993</v>
      </c>
      <c r="AB38" s="18">
        <v>353134.2299999998</v>
      </c>
      <c r="AC38" s="15">
        <f>+AA38+AB38</f>
        <v>4280710.759999999</v>
      </c>
      <c r="AD38" s="15">
        <f>+E38-AC38</f>
        <v>0</v>
      </c>
      <c r="AE38" s="15"/>
    </row>
    <row r="39" spans="1:31" ht="15.75">
      <c r="A39" s="29"/>
      <c r="B39" s="57">
        <v>1421</v>
      </c>
      <c r="C39" s="14" t="s">
        <v>105</v>
      </c>
      <c r="D39" s="18">
        <v>1611870.9599999995</v>
      </c>
      <c r="E39" s="286">
        <f>1611870.96+19000+500</f>
        <v>1631370.96</v>
      </c>
      <c r="F39" s="286">
        <f>134322.58+19000</f>
        <v>153322.58</v>
      </c>
      <c r="G39" s="58">
        <f>+F39</f>
        <v>153322.58</v>
      </c>
      <c r="H39" s="18">
        <v>134322.57999999996</v>
      </c>
      <c r="I39" s="58">
        <f>+G39+H39</f>
        <v>287645.1599999999</v>
      </c>
      <c r="J39" s="286">
        <f>134322.58+500</f>
        <v>134822.58</v>
      </c>
      <c r="K39" s="58">
        <f>+I39+J39</f>
        <v>422467.7399999999</v>
      </c>
      <c r="L39" s="18">
        <v>134322.57999999996</v>
      </c>
      <c r="M39" s="58">
        <f>+K39+L39</f>
        <v>556790.3199999998</v>
      </c>
      <c r="N39" s="18">
        <v>134322.57999999996</v>
      </c>
      <c r="O39" s="58">
        <f>+M39+N39</f>
        <v>691112.8999999998</v>
      </c>
      <c r="P39" s="18">
        <v>134322.57999999996</v>
      </c>
      <c r="Q39" s="58">
        <f>+O39+P39</f>
        <v>825435.4799999997</v>
      </c>
      <c r="R39" s="18">
        <v>134322.57999999996</v>
      </c>
      <c r="S39" s="58">
        <f>+Q39+R39</f>
        <v>959758.0599999997</v>
      </c>
      <c r="T39" s="18">
        <v>134322.57999999996</v>
      </c>
      <c r="U39" s="58">
        <f>+S39+T39</f>
        <v>1094080.6399999997</v>
      </c>
      <c r="V39" s="18">
        <v>134322.57999999996</v>
      </c>
      <c r="W39" s="58">
        <f>+U39+V39</f>
        <v>1228403.2199999997</v>
      </c>
      <c r="X39" s="18">
        <v>134322.57999999996</v>
      </c>
      <c r="Y39" s="58">
        <f>+W39+X39</f>
        <v>1362725.7999999998</v>
      </c>
      <c r="Z39" s="18">
        <v>134322.57999999996</v>
      </c>
      <c r="AA39" s="58">
        <f>+Y39+Z39</f>
        <v>1497048.38</v>
      </c>
      <c r="AB39" s="18">
        <v>134322.57999999996</v>
      </c>
      <c r="AC39" s="15">
        <f>+AA39+AB39</f>
        <v>1631370.96</v>
      </c>
      <c r="AD39" s="15">
        <f>+E39-AC39</f>
        <v>0</v>
      </c>
      <c r="AE39" s="18"/>
    </row>
    <row r="40" spans="1:30" ht="15.75">
      <c r="A40" s="29"/>
      <c r="B40" s="57">
        <v>1431</v>
      </c>
      <c r="C40" s="14" t="s">
        <v>106</v>
      </c>
      <c r="D40" s="18">
        <v>1544990.0399999993</v>
      </c>
      <c r="E40" s="286">
        <f>1544990.04+16600+1000+2000</f>
        <v>1564590.04</v>
      </c>
      <c r="F40" s="286">
        <f>128749.17+16600</f>
        <v>145349.16999999998</v>
      </c>
      <c r="G40" s="58">
        <f>+F40</f>
        <v>145349.16999999998</v>
      </c>
      <c r="H40" s="286">
        <f>128749.17+1000</f>
        <v>129749.17</v>
      </c>
      <c r="I40" s="58">
        <f>+G40+H40</f>
        <v>275098.33999999997</v>
      </c>
      <c r="J40" s="286">
        <f>128749.17+2000</f>
        <v>130749.17</v>
      </c>
      <c r="K40" s="58">
        <f>+I40+J40</f>
        <v>405847.50999999995</v>
      </c>
      <c r="L40" s="18">
        <v>128749.17</v>
      </c>
      <c r="M40" s="58">
        <f>+K40+L40</f>
        <v>534596.6799999999</v>
      </c>
      <c r="N40" s="18">
        <v>128749.17</v>
      </c>
      <c r="O40" s="58">
        <f>+M40+N40</f>
        <v>663345.85</v>
      </c>
      <c r="P40" s="18">
        <v>128749.17</v>
      </c>
      <c r="Q40" s="58">
        <f>+O40+P40</f>
        <v>792095.02</v>
      </c>
      <c r="R40" s="18">
        <v>128749.17</v>
      </c>
      <c r="S40" s="58">
        <f>+Q40+R40</f>
        <v>920844.1900000001</v>
      </c>
      <c r="T40" s="18">
        <v>128749.17</v>
      </c>
      <c r="U40" s="58">
        <f>+S40+T40</f>
        <v>1049593.36</v>
      </c>
      <c r="V40" s="18">
        <v>128749.17</v>
      </c>
      <c r="W40" s="58">
        <f>+U40+V40</f>
        <v>1178342.53</v>
      </c>
      <c r="X40" s="18">
        <v>128749.17</v>
      </c>
      <c r="Y40" s="58">
        <f>+W40+X40</f>
        <v>1307091.7</v>
      </c>
      <c r="Z40" s="18">
        <v>128749.17</v>
      </c>
      <c r="AA40" s="58">
        <f>+Y40+Z40</f>
        <v>1435840.8699999999</v>
      </c>
      <c r="AB40" s="18">
        <v>128749.17</v>
      </c>
      <c r="AC40" s="15">
        <f>+AA40+AB40</f>
        <v>1564590.0399999998</v>
      </c>
      <c r="AD40" s="15">
        <f>+E40-AC40</f>
        <v>0</v>
      </c>
    </row>
    <row r="41" spans="1:30" ht="15">
      <c r="A41" s="29"/>
      <c r="B41" s="57">
        <v>1441</v>
      </c>
      <c r="C41" s="23" t="s">
        <v>107</v>
      </c>
      <c r="D41" s="18">
        <v>477147.44999999995</v>
      </c>
      <c r="E41" s="18">
        <v>477147.44999999995</v>
      </c>
      <c r="F41" s="18">
        <v>39762.29</v>
      </c>
      <c r="G41" s="58">
        <f>+F41</f>
        <v>39762.29</v>
      </c>
      <c r="H41" s="18">
        <v>39762.29</v>
      </c>
      <c r="I41" s="58">
        <f>+G41+H41</f>
        <v>79524.58</v>
      </c>
      <c r="J41" s="18">
        <v>39762.29</v>
      </c>
      <c r="K41" s="58">
        <f>+I41+J41</f>
        <v>119286.87</v>
      </c>
      <c r="L41" s="18">
        <v>39762.29</v>
      </c>
      <c r="M41" s="58">
        <f>+K41+L41</f>
        <v>159049.16</v>
      </c>
      <c r="N41" s="18">
        <v>39762.29</v>
      </c>
      <c r="O41" s="58">
        <f>+M41+N41</f>
        <v>198811.45</v>
      </c>
      <c r="P41" s="18">
        <v>39762.29</v>
      </c>
      <c r="Q41" s="58">
        <f>+O41+P41</f>
        <v>238573.74000000002</v>
      </c>
      <c r="R41" s="18">
        <v>39762.29</v>
      </c>
      <c r="S41" s="58">
        <f>+Q41+R41</f>
        <v>278336.03</v>
      </c>
      <c r="T41" s="18">
        <v>39762.29</v>
      </c>
      <c r="U41" s="58">
        <f>+S41+T41</f>
        <v>318098.32</v>
      </c>
      <c r="V41" s="18">
        <v>39762.29</v>
      </c>
      <c r="W41" s="58">
        <f>+U41+V41</f>
        <v>357860.61</v>
      </c>
      <c r="X41" s="18">
        <v>39762.29</v>
      </c>
      <c r="Y41" s="58">
        <f>+W41+X41</f>
        <v>397622.89999999997</v>
      </c>
      <c r="Z41" s="18">
        <v>39762.29</v>
      </c>
      <c r="AA41" s="58">
        <f>+Y41+Z41</f>
        <v>437385.18999999994</v>
      </c>
      <c r="AB41" s="18">
        <v>39762.26</v>
      </c>
      <c r="AC41" s="15">
        <f>+AA41+AB41</f>
        <v>477147.44999999995</v>
      </c>
      <c r="AD41" s="15">
        <f>+E41-AC41</f>
        <v>0</v>
      </c>
    </row>
    <row r="42" spans="1:30" ht="15.75">
      <c r="A42" s="29"/>
      <c r="B42" s="57">
        <v>1449</v>
      </c>
      <c r="C42" s="23" t="s">
        <v>232</v>
      </c>
      <c r="D42" s="18">
        <v>4826985.829999999</v>
      </c>
      <c r="E42" s="286">
        <f>4826985.83-21000-30000+51000</f>
        <v>4826985.83</v>
      </c>
      <c r="F42" s="286">
        <f>402248.82-21000</f>
        <v>381248.82</v>
      </c>
      <c r="G42" s="58">
        <f>+F42</f>
        <v>381248.82</v>
      </c>
      <c r="H42" s="18">
        <v>402248.82</v>
      </c>
      <c r="I42" s="58">
        <f>+G42+H42</f>
        <v>783497.64</v>
      </c>
      <c r="J42" s="286">
        <f>402248.82-30000+51000</f>
        <v>423248.82</v>
      </c>
      <c r="K42" s="58">
        <f>+I42+J42</f>
        <v>1206746.46</v>
      </c>
      <c r="L42" s="18">
        <v>402248.82</v>
      </c>
      <c r="M42" s="58">
        <f>+K42+L42</f>
        <v>1608995.28</v>
      </c>
      <c r="N42" s="18">
        <v>402248.82</v>
      </c>
      <c r="O42" s="58">
        <f>+M42+N42</f>
        <v>2011244.1</v>
      </c>
      <c r="P42" s="18">
        <v>402248.82</v>
      </c>
      <c r="Q42" s="58">
        <f>+O42+P42</f>
        <v>2413492.92</v>
      </c>
      <c r="R42" s="18">
        <v>402248.82</v>
      </c>
      <c r="S42" s="58">
        <f>+Q42+R42</f>
        <v>2815741.7399999998</v>
      </c>
      <c r="T42" s="18">
        <v>402248.82</v>
      </c>
      <c r="U42" s="58">
        <f>+S42+T42</f>
        <v>3217990.5599999996</v>
      </c>
      <c r="V42" s="18">
        <v>402248.82</v>
      </c>
      <c r="W42" s="58">
        <f>+U42+V42</f>
        <v>3620239.3799999994</v>
      </c>
      <c r="X42" s="18">
        <v>402248.82</v>
      </c>
      <c r="Y42" s="58">
        <f>+W42+X42</f>
        <v>4022488.1999999993</v>
      </c>
      <c r="Z42" s="18">
        <v>402248.82</v>
      </c>
      <c r="AA42" s="58">
        <f>+Y42+Z42</f>
        <v>4424737.02</v>
      </c>
      <c r="AB42" s="18">
        <v>402248.81</v>
      </c>
      <c r="AC42" s="15">
        <f>+AA42+AB42</f>
        <v>4826985.829999999</v>
      </c>
      <c r="AD42" s="15">
        <f>+E42-AC42</f>
        <v>0</v>
      </c>
    </row>
    <row r="43" spans="1:29" ht="15">
      <c r="A43" s="29"/>
      <c r="B43" s="66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</row>
    <row r="44" spans="1:30" ht="15.75">
      <c r="A44" s="29"/>
      <c r="B44" s="69">
        <v>1500</v>
      </c>
      <c r="C44" s="67" t="s">
        <v>184</v>
      </c>
      <c r="D44" s="70">
        <f>SUM(D45:D50)</f>
        <v>118990162.68000004</v>
      </c>
      <c r="E44" s="70">
        <f>SUM(E45:E50)</f>
        <v>118485048.71000001</v>
      </c>
      <c r="F44" s="70">
        <f>SUM(F45:F50)</f>
        <v>9782043.469999999</v>
      </c>
      <c r="G44" s="70">
        <f aca="true" t="shared" si="10" ref="G44:AC44">SUM(G45:G50)</f>
        <v>9782043.469999999</v>
      </c>
      <c r="H44" s="70">
        <f>SUM(H45:H50)</f>
        <v>9719610.309999999</v>
      </c>
      <c r="I44" s="70">
        <f t="shared" si="10"/>
        <v>19501653.78</v>
      </c>
      <c r="J44" s="70">
        <f>SUM(J45:J50)</f>
        <v>9732972.92</v>
      </c>
      <c r="K44" s="70">
        <f t="shared" si="10"/>
        <v>29234626.7</v>
      </c>
      <c r="L44" s="70">
        <f>SUM(L45:L50)</f>
        <v>9915846.890000002</v>
      </c>
      <c r="M44" s="70">
        <f t="shared" si="10"/>
        <v>39150473.59</v>
      </c>
      <c r="N44" s="70">
        <f>SUM(N45:N50)</f>
        <v>9915846.890000002</v>
      </c>
      <c r="O44" s="70">
        <f t="shared" si="10"/>
        <v>49066320.480000004</v>
      </c>
      <c r="P44" s="70">
        <f>SUM(P45:P50)</f>
        <v>9915846.890000002</v>
      </c>
      <c r="Q44" s="70">
        <f t="shared" si="10"/>
        <v>58982167.370000005</v>
      </c>
      <c r="R44" s="70">
        <f>SUM(R45:R50)</f>
        <v>9915846.890000002</v>
      </c>
      <c r="S44" s="70">
        <f t="shared" si="10"/>
        <v>68898014.26</v>
      </c>
      <c r="T44" s="70">
        <f>SUM(T45:T50)</f>
        <v>9915846.890000002</v>
      </c>
      <c r="U44" s="70">
        <f t="shared" si="10"/>
        <v>78813861.15</v>
      </c>
      <c r="V44" s="70">
        <f>SUM(V45:V50)</f>
        <v>9915846.890000002</v>
      </c>
      <c r="W44" s="70">
        <f t="shared" si="10"/>
        <v>88729708.04</v>
      </c>
      <c r="X44" s="70">
        <f>SUM(X45:X50)</f>
        <v>9915846.890000002</v>
      </c>
      <c r="Y44" s="70">
        <f t="shared" si="10"/>
        <v>98645554.93</v>
      </c>
      <c r="Z44" s="70">
        <f>SUM(Z45:Z50)</f>
        <v>10030129.040000001</v>
      </c>
      <c r="AA44" s="70">
        <f t="shared" si="10"/>
        <v>108675683.97000001</v>
      </c>
      <c r="AB44" s="70">
        <f>SUM(AB45:AB50)</f>
        <v>9809364.740000002</v>
      </c>
      <c r="AC44" s="70">
        <f t="shared" si="10"/>
        <v>118485048.71000001</v>
      </c>
      <c r="AD44" s="70">
        <f>SUM(AD45:AD50)</f>
        <v>0</v>
      </c>
    </row>
    <row r="45" spans="1:31" ht="15.75">
      <c r="A45" s="29"/>
      <c r="B45" s="57">
        <v>1511</v>
      </c>
      <c r="C45" s="26" t="s">
        <v>108</v>
      </c>
      <c r="D45" s="18">
        <v>14464494.6</v>
      </c>
      <c r="E45" s="286">
        <f>14464494.6+50160-79000+15000+15500</f>
        <v>14466154.6</v>
      </c>
      <c r="F45" s="286">
        <f>1205374.55+50160-79000</f>
        <v>1176534.55</v>
      </c>
      <c r="G45" s="58">
        <f aca="true" t="shared" si="11" ref="G45:G50">+F45</f>
        <v>1176534.55</v>
      </c>
      <c r="H45" s="286">
        <f>1205374.55+15000</f>
        <v>1220374.55</v>
      </c>
      <c r="I45" s="58">
        <f aca="true" t="shared" si="12" ref="I45:I50">+G45+H45</f>
        <v>2396909.1</v>
      </c>
      <c r="J45" s="286">
        <f>1205374.55+15500</f>
        <v>1220874.55</v>
      </c>
      <c r="K45" s="58">
        <f aca="true" t="shared" si="13" ref="K45:K50">+I45+J45</f>
        <v>3617783.6500000004</v>
      </c>
      <c r="L45" s="18">
        <v>1205374.5499999996</v>
      </c>
      <c r="M45" s="58">
        <f aca="true" t="shared" si="14" ref="M45:M50">+K45+L45</f>
        <v>4823158.2</v>
      </c>
      <c r="N45" s="18">
        <v>1205374.5499999996</v>
      </c>
      <c r="O45" s="58">
        <f aca="true" t="shared" si="15" ref="O45:O50">+M45+N45</f>
        <v>6028532.75</v>
      </c>
      <c r="P45" s="18">
        <v>1205374.5499999996</v>
      </c>
      <c r="Q45" s="58">
        <f aca="true" t="shared" si="16" ref="Q45:Q50">+O45+P45</f>
        <v>7233907.3</v>
      </c>
      <c r="R45" s="18">
        <v>1205374.5499999996</v>
      </c>
      <c r="S45" s="58">
        <f aca="true" t="shared" si="17" ref="S45:S50">+Q45+R45</f>
        <v>8439281.85</v>
      </c>
      <c r="T45" s="18">
        <v>1205374.5499999996</v>
      </c>
      <c r="U45" s="58">
        <f aca="true" t="shared" si="18" ref="U45:U50">+S45+T45</f>
        <v>9644656.399999999</v>
      </c>
      <c r="V45" s="18">
        <v>1205374.5499999996</v>
      </c>
      <c r="W45" s="58">
        <f aca="true" t="shared" si="19" ref="W45:W50">+U45+V45</f>
        <v>10850030.949999997</v>
      </c>
      <c r="X45" s="18">
        <v>1205374.5499999996</v>
      </c>
      <c r="Y45" s="58">
        <f aca="true" t="shared" si="20" ref="Y45:Y50">+W45+X45</f>
        <v>12055405.499999996</v>
      </c>
      <c r="Z45" s="18">
        <v>1205374.5499999996</v>
      </c>
      <c r="AA45" s="58">
        <f aca="true" t="shared" si="21" ref="AA45:AA50">+Y45+Z45</f>
        <v>13260780.049999995</v>
      </c>
      <c r="AB45" s="18">
        <v>1205374.5499999996</v>
      </c>
      <c r="AC45" s="15">
        <f aca="true" t="shared" si="22" ref="AC45:AC50">+AA45+AB45</f>
        <v>14466154.599999994</v>
      </c>
      <c r="AD45" s="15">
        <f aca="true" t="shared" si="23" ref="AD45:AD50">+E45-AC45</f>
        <v>0</v>
      </c>
      <c r="AE45" s="15"/>
    </row>
    <row r="46" spans="1:31" ht="15">
      <c r="A46" s="29"/>
      <c r="B46" s="57">
        <v>1521</v>
      </c>
      <c r="C46" s="26" t="s">
        <v>112</v>
      </c>
      <c r="D46" s="18">
        <v>0</v>
      </c>
      <c r="E46" s="18">
        <v>0</v>
      </c>
      <c r="F46" s="18">
        <v>0</v>
      </c>
      <c r="G46" s="58">
        <f t="shared" si="11"/>
        <v>0</v>
      </c>
      <c r="H46" s="18">
        <v>0</v>
      </c>
      <c r="I46" s="58">
        <f t="shared" si="12"/>
        <v>0</v>
      </c>
      <c r="J46" s="18">
        <v>0</v>
      </c>
      <c r="K46" s="58">
        <f t="shared" si="13"/>
        <v>0</v>
      </c>
      <c r="L46" s="18">
        <v>0</v>
      </c>
      <c r="M46" s="58">
        <f t="shared" si="14"/>
        <v>0</v>
      </c>
      <c r="N46" s="18">
        <v>0</v>
      </c>
      <c r="O46" s="58">
        <f t="shared" si="15"/>
        <v>0</v>
      </c>
      <c r="P46" s="18">
        <v>0</v>
      </c>
      <c r="Q46" s="58">
        <f t="shared" si="16"/>
        <v>0</v>
      </c>
      <c r="R46" s="18">
        <v>0</v>
      </c>
      <c r="S46" s="58">
        <f t="shared" si="17"/>
        <v>0</v>
      </c>
      <c r="T46" s="18">
        <v>0</v>
      </c>
      <c r="U46" s="58">
        <f t="shared" si="18"/>
        <v>0</v>
      </c>
      <c r="V46" s="18">
        <v>0</v>
      </c>
      <c r="W46" s="58">
        <f t="shared" si="19"/>
        <v>0</v>
      </c>
      <c r="X46" s="18">
        <v>0</v>
      </c>
      <c r="Y46" s="58">
        <f t="shared" si="20"/>
        <v>0</v>
      </c>
      <c r="Z46" s="18">
        <v>0</v>
      </c>
      <c r="AA46" s="58">
        <f t="shared" si="21"/>
        <v>0</v>
      </c>
      <c r="AB46" s="18">
        <v>0</v>
      </c>
      <c r="AC46" s="15">
        <f t="shared" si="22"/>
        <v>0</v>
      </c>
      <c r="AD46" s="15">
        <f t="shared" si="23"/>
        <v>0</v>
      </c>
      <c r="AE46" s="15"/>
    </row>
    <row r="47" spans="1:31" ht="15.75">
      <c r="A47" s="29"/>
      <c r="B47" s="57">
        <v>1541</v>
      </c>
      <c r="C47" s="26" t="s">
        <v>113</v>
      </c>
      <c r="D47" s="18">
        <v>4176000</v>
      </c>
      <c r="E47" s="286">
        <f>4176000+16000-10000+15000+15000</f>
        <v>4212000</v>
      </c>
      <c r="F47" s="286">
        <f>348000+16000-10000</f>
        <v>354000</v>
      </c>
      <c r="G47" s="58">
        <f t="shared" si="11"/>
        <v>354000</v>
      </c>
      <c r="H47" s="286">
        <f>348000+15000</f>
        <v>363000</v>
      </c>
      <c r="I47" s="58">
        <f t="shared" si="12"/>
        <v>717000</v>
      </c>
      <c r="J47" s="286">
        <f>348000+15000</f>
        <v>363000</v>
      </c>
      <c r="K47" s="58">
        <f t="shared" si="13"/>
        <v>1080000</v>
      </c>
      <c r="L47" s="18">
        <v>348000</v>
      </c>
      <c r="M47" s="58">
        <f t="shared" si="14"/>
        <v>1428000</v>
      </c>
      <c r="N47" s="18">
        <v>348000</v>
      </c>
      <c r="O47" s="58">
        <f t="shared" si="15"/>
        <v>1776000</v>
      </c>
      <c r="P47" s="18">
        <v>348000</v>
      </c>
      <c r="Q47" s="58">
        <f t="shared" si="16"/>
        <v>2124000</v>
      </c>
      <c r="R47" s="18">
        <v>348000</v>
      </c>
      <c r="S47" s="58">
        <f t="shared" si="17"/>
        <v>2472000</v>
      </c>
      <c r="T47" s="18">
        <v>348000</v>
      </c>
      <c r="U47" s="58">
        <f t="shared" si="18"/>
        <v>2820000</v>
      </c>
      <c r="V47" s="18">
        <v>348000</v>
      </c>
      <c r="W47" s="58">
        <f t="shared" si="19"/>
        <v>3168000</v>
      </c>
      <c r="X47" s="18">
        <v>348000</v>
      </c>
      <c r="Y47" s="58">
        <f t="shared" si="20"/>
        <v>3516000</v>
      </c>
      <c r="Z47" s="18">
        <v>348000</v>
      </c>
      <c r="AA47" s="58">
        <f t="shared" si="21"/>
        <v>3864000</v>
      </c>
      <c r="AB47" s="18">
        <v>348000</v>
      </c>
      <c r="AC47" s="15">
        <f t="shared" si="22"/>
        <v>4212000</v>
      </c>
      <c r="AD47" s="15">
        <f t="shared" si="23"/>
        <v>0</v>
      </c>
      <c r="AE47" s="15"/>
    </row>
    <row r="48" spans="1:31" ht="15">
      <c r="A48" s="29"/>
      <c r="B48" s="57">
        <v>1542</v>
      </c>
      <c r="C48" s="26" t="s">
        <v>241</v>
      </c>
      <c r="D48" s="18">
        <v>0</v>
      </c>
      <c r="E48" s="18">
        <v>0</v>
      </c>
      <c r="F48" s="18">
        <v>0</v>
      </c>
      <c r="G48" s="58">
        <f t="shared" si="11"/>
        <v>0</v>
      </c>
      <c r="H48" s="18">
        <v>0</v>
      </c>
      <c r="I48" s="58">
        <f t="shared" si="12"/>
        <v>0</v>
      </c>
      <c r="J48" s="18">
        <v>0</v>
      </c>
      <c r="K48" s="58">
        <f t="shared" si="13"/>
        <v>0</v>
      </c>
      <c r="L48" s="18">
        <v>0</v>
      </c>
      <c r="M48" s="58">
        <f t="shared" si="14"/>
        <v>0</v>
      </c>
      <c r="N48" s="18">
        <v>0</v>
      </c>
      <c r="O48" s="58">
        <f t="shared" si="15"/>
        <v>0</v>
      </c>
      <c r="P48" s="18">
        <v>0</v>
      </c>
      <c r="Q48" s="58">
        <f t="shared" si="16"/>
        <v>0</v>
      </c>
      <c r="R48" s="18">
        <v>0</v>
      </c>
      <c r="S48" s="58">
        <f t="shared" si="17"/>
        <v>0</v>
      </c>
      <c r="T48" s="18">
        <v>0</v>
      </c>
      <c r="U48" s="58">
        <f t="shared" si="18"/>
        <v>0</v>
      </c>
      <c r="V48" s="18">
        <v>0</v>
      </c>
      <c r="W48" s="58">
        <f t="shared" si="19"/>
        <v>0</v>
      </c>
      <c r="X48" s="18">
        <v>0</v>
      </c>
      <c r="Y48" s="58">
        <f t="shared" si="20"/>
        <v>0</v>
      </c>
      <c r="Z48" s="18">
        <v>0</v>
      </c>
      <c r="AA48" s="58">
        <f t="shared" si="21"/>
        <v>0</v>
      </c>
      <c r="AB48" s="18">
        <v>0</v>
      </c>
      <c r="AC48" s="15">
        <f t="shared" si="22"/>
        <v>0</v>
      </c>
      <c r="AD48" s="15">
        <f t="shared" si="23"/>
        <v>0</v>
      </c>
      <c r="AE48" s="15"/>
    </row>
    <row r="49" spans="1:30" ht="15.75">
      <c r="A49" s="29"/>
      <c r="B49" s="57">
        <v>1544</v>
      </c>
      <c r="C49" s="14" t="s">
        <v>109</v>
      </c>
      <c r="D49" s="18">
        <v>3791896.920000001</v>
      </c>
      <c r="E49" s="286">
        <f>3791896.92+700000+230000+344000</f>
        <v>5065896.92</v>
      </c>
      <c r="F49" s="286">
        <f>315991.41+700000</f>
        <v>1015991.4099999999</v>
      </c>
      <c r="G49" s="58">
        <f t="shared" si="11"/>
        <v>1015991.4099999999</v>
      </c>
      <c r="H49" s="286">
        <f>315991.41+230000</f>
        <v>545991.4099999999</v>
      </c>
      <c r="I49" s="58">
        <f t="shared" si="12"/>
        <v>1561982.8199999998</v>
      </c>
      <c r="J49" s="286">
        <f>315991.41+344000</f>
        <v>659991.4099999999</v>
      </c>
      <c r="K49" s="58">
        <f t="shared" si="13"/>
        <v>2221974.2299999995</v>
      </c>
      <c r="L49" s="18">
        <v>315991.41000000015</v>
      </c>
      <c r="M49" s="58">
        <f t="shared" si="14"/>
        <v>2537965.6399999997</v>
      </c>
      <c r="N49" s="18">
        <v>315991.41000000015</v>
      </c>
      <c r="O49" s="58">
        <f t="shared" si="15"/>
        <v>2853957.05</v>
      </c>
      <c r="P49" s="18">
        <v>315991.41000000015</v>
      </c>
      <c r="Q49" s="58">
        <f t="shared" si="16"/>
        <v>3169948.46</v>
      </c>
      <c r="R49" s="18">
        <v>315991.41000000015</v>
      </c>
      <c r="S49" s="58">
        <f t="shared" si="17"/>
        <v>3485939.87</v>
      </c>
      <c r="T49" s="18">
        <v>315991.41000000015</v>
      </c>
      <c r="U49" s="58">
        <f t="shared" si="18"/>
        <v>3801931.2800000003</v>
      </c>
      <c r="V49" s="18">
        <v>315991.41000000015</v>
      </c>
      <c r="W49" s="58">
        <f t="shared" si="19"/>
        <v>4117922.6900000004</v>
      </c>
      <c r="X49" s="18">
        <v>315991.41000000015</v>
      </c>
      <c r="Y49" s="58">
        <f t="shared" si="20"/>
        <v>4433914.100000001</v>
      </c>
      <c r="Z49" s="18">
        <v>315991.41000000015</v>
      </c>
      <c r="AA49" s="58">
        <f t="shared" si="21"/>
        <v>4749905.510000001</v>
      </c>
      <c r="AB49" s="18">
        <v>315991.41000000015</v>
      </c>
      <c r="AC49" s="15">
        <f t="shared" si="22"/>
        <v>5065896.920000001</v>
      </c>
      <c r="AD49" s="15">
        <f t="shared" si="23"/>
        <v>0</v>
      </c>
    </row>
    <row r="50" spans="1:30" ht="15.75">
      <c r="A50" s="29"/>
      <c r="B50" s="57">
        <v>1591</v>
      </c>
      <c r="C50" s="14" t="s">
        <v>110</v>
      </c>
      <c r="D50" s="18">
        <v>96557771.16000004</v>
      </c>
      <c r="E50" s="286">
        <f>96557771.16+132100-863000+1500-530000+66000-623373.97</f>
        <v>94740997.19</v>
      </c>
      <c r="F50" s="286">
        <f>7966417.51+132100-863000</f>
        <v>7235517.51</v>
      </c>
      <c r="G50" s="58">
        <f t="shared" si="11"/>
        <v>7235517.51</v>
      </c>
      <c r="H50" s="286">
        <f>8118744.35+1500-530000</f>
        <v>7590244.35</v>
      </c>
      <c r="I50" s="58">
        <f t="shared" si="12"/>
        <v>14825761.86</v>
      </c>
      <c r="J50" s="286">
        <f>8046480.93+66000-623373.97</f>
        <v>7489106.96</v>
      </c>
      <c r="K50" s="58">
        <f t="shared" si="13"/>
        <v>22314868.82</v>
      </c>
      <c r="L50" s="18">
        <v>8046480.9300000025</v>
      </c>
      <c r="M50" s="58">
        <f t="shared" si="14"/>
        <v>30361349.750000004</v>
      </c>
      <c r="N50" s="18">
        <v>8046480.9300000025</v>
      </c>
      <c r="O50" s="58">
        <f t="shared" si="15"/>
        <v>38407830.68000001</v>
      </c>
      <c r="P50" s="18">
        <v>8046480.9300000025</v>
      </c>
      <c r="Q50" s="58">
        <f t="shared" si="16"/>
        <v>46454311.61000001</v>
      </c>
      <c r="R50" s="18">
        <v>8046480.9300000025</v>
      </c>
      <c r="S50" s="58">
        <f t="shared" si="17"/>
        <v>54500792.54000001</v>
      </c>
      <c r="T50" s="18">
        <v>8046480.9300000025</v>
      </c>
      <c r="U50" s="58">
        <f t="shared" si="18"/>
        <v>62547273.470000006</v>
      </c>
      <c r="V50" s="18">
        <v>8046480.9300000025</v>
      </c>
      <c r="W50" s="58">
        <f t="shared" si="19"/>
        <v>70593754.4</v>
      </c>
      <c r="X50" s="18">
        <v>8046480.9300000025</v>
      </c>
      <c r="Y50" s="58">
        <f t="shared" si="20"/>
        <v>78640235.33000001</v>
      </c>
      <c r="Z50" s="18">
        <v>8160763.080000001</v>
      </c>
      <c r="AA50" s="58">
        <f t="shared" si="21"/>
        <v>86800998.41000001</v>
      </c>
      <c r="AB50" s="18">
        <v>7939998.780000002</v>
      </c>
      <c r="AC50" s="15">
        <f t="shared" si="22"/>
        <v>94740997.19000001</v>
      </c>
      <c r="AD50" s="15">
        <f t="shared" si="23"/>
        <v>0</v>
      </c>
    </row>
    <row r="51" spans="1:29" ht="15">
      <c r="A51" s="29"/>
      <c r="B51" s="57"/>
      <c r="C51" s="14"/>
      <c r="D51" s="18"/>
      <c r="E51" s="18"/>
      <c r="F51" s="18"/>
      <c r="G51" s="59"/>
      <c r="H51" s="18"/>
      <c r="I51" s="15"/>
      <c r="J51" s="18"/>
      <c r="K51" s="15"/>
      <c r="L51" s="18"/>
      <c r="M51" s="15"/>
      <c r="N51" s="18"/>
      <c r="O51" s="15"/>
      <c r="P51" s="18"/>
      <c r="Q51" s="15"/>
      <c r="R51" s="18"/>
      <c r="S51" s="15"/>
      <c r="T51" s="18"/>
      <c r="U51" s="15"/>
      <c r="V51" s="18"/>
      <c r="W51" s="15"/>
      <c r="X51" s="18"/>
      <c r="Y51" s="15"/>
      <c r="Z51" s="18"/>
      <c r="AA51" s="15"/>
      <c r="AB51" s="18"/>
      <c r="AC51" s="15"/>
    </row>
    <row r="52" spans="1:31" ht="15.75">
      <c r="A52" s="29"/>
      <c r="B52" s="16"/>
      <c r="C52" s="25"/>
      <c r="D52" s="74"/>
      <c r="E52" s="74"/>
      <c r="F52" s="74"/>
      <c r="G52" s="73"/>
      <c r="H52" s="74"/>
      <c r="I52" s="19"/>
      <c r="J52" s="74"/>
      <c r="K52" s="19"/>
      <c r="L52" s="74"/>
      <c r="M52" s="19"/>
      <c r="N52" s="74"/>
      <c r="O52" s="19"/>
      <c r="P52" s="74"/>
      <c r="Q52" s="19"/>
      <c r="R52" s="74"/>
      <c r="S52" s="19"/>
      <c r="T52" s="74"/>
      <c r="U52" s="19"/>
      <c r="V52" s="74"/>
      <c r="W52" s="19"/>
      <c r="X52" s="74"/>
      <c r="Y52" s="19"/>
      <c r="Z52" s="74"/>
      <c r="AA52" s="19"/>
      <c r="AB52" s="74"/>
      <c r="AC52" s="19"/>
      <c r="AD52" s="65"/>
      <c r="AE52" s="15"/>
    </row>
    <row r="53" spans="1:30" ht="16.5" thickBot="1">
      <c r="A53" s="29"/>
      <c r="B53" s="75">
        <v>2000</v>
      </c>
      <c r="C53" s="143" t="s">
        <v>40</v>
      </c>
      <c r="D53" s="62">
        <f>+D55+D63+D67+D78+D86+D89+D94</f>
        <v>5145578.69</v>
      </c>
      <c r="E53" s="62">
        <f>+E55+E63+E67+E78+E86+E89+E94</f>
        <v>5174693.6899999995</v>
      </c>
      <c r="F53" s="62">
        <f>+F55+F63+F67+F78+F86+F89+F94</f>
        <v>357125.14</v>
      </c>
      <c r="G53" s="62">
        <f aca="true" t="shared" si="24" ref="G53:AD53">+G55+G63+G67+G78+G86+G89+G94</f>
        <v>357125.14</v>
      </c>
      <c r="H53" s="62">
        <f>+H55+H63+H67+H78+H86+H89+H94</f>
        <v>55061.5</v>
      </c>
      <c r="I53" s="62">
        <f t="shared" si="24"/>
        <v>412186.64</v>
      </c>
      <c r="J53" s="62">
        <f>+J55+J63+J67+J78+J86+J89+J94</f>
        <v>203984.5</v>
      </c>
      <c r="K53" s="62">
        <f t="shared" si="24"/>
        <v>616171.14</v>
      </c>
      <c r="L53" s="62">
        <f>+L55+L63+L67+L78+L86+L89+L94</f>
        <v>1678998.1900000002</v>
      </c>
      <c r="M53" s="62">
        <f t="shared" si="24"/>
        <v>2295169.3299999996</v>
      </c>
      <c r="N53" s="62">
        <f>+N55+N63+N67+N78+N86+N89+N94</f>
        <v>56965.5</v>
      </c>
      <c r="O53" s="62">
        <f t="shared" si="24"/>
        <v>2352134.83</v>
      </c>
      <c r="P53" s="62">
        <f>+P55+P63+P67+P78+P86+P89+P94</f>
        <v>56965.5</v>
      </c>
      <c r="Q53" s="62">
        <f t="shared" si="24"/>
        <v>2409100.33</v>
      </c>
      <c r="R53" s="62">
        <f>+R55+R63+R67+R78+R86+R89+R94</f>
        <v>517745.8</v>
      </c>
      <c r="S53" s="62">
        <f t="shared" si="24"/>
        <v>2926846.13</v>
      </c>
      <c r="T53" s="62">
        <f>+T55+T63+T67+T78+T86+T89+T94</f>
        <v>56965.5</v>
      </c>
      <c r="U53" s="62">
        <f t="shared" si="24"/>
        <v>2983811.63</v>
      </c>
      <c r="V53" s="62">
        <f>+V55+V63+V67+V78+V86+V89+V94</f>
        <v>56965.5</v>
      </c>
      <c r="W53" s="62">
        <f t="shared" si="24"/>
        <v>3040777.13</v>
      </c>
      <c r="X53" s="62">
        <f>+X55+X63+X67+X78+X86+X89+X94</f>
        <v>56965.5</v>
      </c>
      <c r="Y53" s="62">
        <f t="shared" si="24"/>
        <v>3097742.63</v>
      </c>
      <c r="Z53" s="62">
        <f>+Z55+Z63+Z67+Z78+Z86+Z89+Z94</f>
        <v>2019985.5599999998</v>
      </c>
      <c r="AA53" s="62">
        <f t="shared" si="24"/>
        <v>5117728.19</v>
      </c>
      <c r="AB53" s="62">
        <f>+AB55+AB63+AB67+AB78+AB86+AB89+AB94</f>
        <v>56965.5</v>
      </c>
      <c r="AC53" s="62">
        <f t="shared" si="24"/>
        <v>5174693.69</v>
      </c>
      <c r="AD53" s="62">
        <f t="shared" si="24"/>
        <v>0</v>
      </c>
    </row>
    <row r="54" spans="1:30" ht="16.5" thickTop="1">
      <c r="A54" s="29"/>
      <c r="B54" s="63"/>
      <c r="C54" s="25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65"/>
    </row>
    <row r="55" spans="1:30" ht="15.75">
      <c r="A55" s="29"/>
      <c r="B55" s="69">
        <v>2100</v>
      </c>
      <c r="C55" s="67" t="s">
        <v>185</v>
      </c>
      <c r="D55" s="70">
        <f>SUM(D56:D61)</f>
        <v>2363066.1300000004</v>
      </c>
      <c r="E55" s="70">
        <f>SUM(E56:E61)</f>
        <v>2387752.94</v>
      </c>
      <c r="F55" s="70">
        <f>SUM(F56:F61)</f>
        <v>47124.54</v>
      </c>
      <c r="G55" s="70">
        <f aca="true" t="shared" si="25" ref="G55:AD55">SUM(G56:G61)</f>
        <v>47124.54</v>
      </c>
      <c r="H55" s="70">
        <f>SUM(H56:H61)</f>
        <v>28237.11</v>
      </c>
      <c r="I55" s="70">
        <f t="shared" si="25"/>
        <v>75361.65</v>
      </c>
      <c r="J55" s="70">
        <f>SUM(J56:J61)</f>
        <v>50380.700000000004</v>
      </c>
      <c r="K55" s="70">
        <f t="shared" si="25"/>
        <v>125742.35</v>
      </c>
      <c r="L55" s="70">
        <f>SUM(L56:L61)</f>
        <v>1380977.37</v>
      </c>
      <c r="M55" s="70">
        <f t="shared" si="25"/>
        <v>1506719.7200000002</v>
      </c>
      <c r="N55" s="70">
        <f>SUM(N56:N61)</f>
        <v>26965.5</v>
      </c>
      <c r="O55" s="70">
        <f t="shared" si="25"/>
        <v>1533685.2200000002</v>
      </c>
      <c r="P55" s="70">
        <f>SUM(P56:P61)</f>
        <v>26965.5</v>
      </c>
      <c r="Q55" s="70">
        <f t="shared" si="25"/>
        <v>1560650.7200000002</v>
      </c>
      <c r="R55" s="70">
        <f>SUM(R56:R61)</f>
        <v>408923.99</v>
      </c>
      <c r="S55" s="70">
        <f t="shared" si="25"/>
        <v>1969574.7100000002</v>
      </c>
      <c r="T55" s="70">
        <f>SUM(T56:T61)</f>
        <v>26965.5</v>
      </c>
      <c r="U55" s="70">
        <f t="shared" si="25"/>
        <v>1996540.2100000002</v>
      </c>
      <c r="V55" s="70">
        <f>SUM(V56:V61)</f>
        <v>26965.5</v>
      </c>
      <c r="W55" s="70">
        <f t="shared" si="25"/>
        <v>2023505.7100000002</v>
      </c>
      <c r="X55" s="70">
        <f>SUM(X56:X61)</f>
        <v>26965.5</v>
      </c>
      <c r="Y55" s="70">
        <f t="shared" si="25"/>
        <v>2050471.2100000002</v>
      </c>
      <c r="Z55" s="70">
        <f>SUM(Z56:Z61)</f>
        <v>310316.23</v>
      </c>
      <c r="AA55" s="70">
        <f t="shared" si="25"/>
        <v>2360787.4400000004</v>
      </c>
      <c r="AB55" s="70">
        <f>SUM(AB56:AB61)</f>
        <v>26965.5</v>
      </c>
      <c r="AC55" s="70">
        <f t="shared" si="25"/>
        <v>2387752.9400000004</v>
      </c>
      <c r="AD55" s="70">
        <f t="shared" si="25"/>
        <v>0</v>
      </c>
    </row>
    <row r="56" spans="1:30" ht="15.75">
      <c r="A56" s="29"/>
      <c r="B56" s="57">
        <v>2111</v>
      </c>
      <c r="C56" s="14" t="s">
        <v>111</v>
      </c>
      <c r="D56" s="18">
        <v>1267868.59</v>
      </c>
      <c r="E56" s="286">
        <f>1267868.59+1455.61-300+3087.05+10-991</f>
        <v>1271130.2500000002</v>
      </c>
      <c r="F56" s="18">
        <v>20000</v>
      </c>
      <c r="G56" s="58">
        <f aca="true" t="shared" si="26" ref="G56:G61">+F56</f>
        <v>20000</v>
      </c>
      <c r="H56" s="286">
        <f>20000+1455.61-300</f>
        <v>21155.61</v>
      </c>
      <c r="I56" s="58">
        <f aca="true" t="shared" si="27" ref="I56:I61">+G56+H56</f>
        <v>41155.61</v>
      </c>
      <c r="J56" s="286">
        <f>20000+3087.05+10-991</f>
        <v>22106.05</v>
      </c>
      <c r="K56" s="58">
        <f aca="true" t="shared" si="28" ref="K56:K61">+I56+J56</f>
        <v>63261.66</v>
      </c>
      <c r="L56" s="18">
        <v>592191.2000000001</v>
      </c>
      <c r="M56" s="58">
        <f aca="true" t="shared" si="29" ref="M56:M61">+K56+L56</f>
        <v>655452.8600000001</v>
      </c>
      <c r="N56" s="18">
        <v>20000</v>
      </c>
      <c r="O56" s="58">
        <f aca="true" t="shared" si="30" ref="O56:O61">+M56+N56</f>
        <v>675452.8600000001</v>
      </c>
      <c r="P56" s="18">
        <v>20000</v>
      </c>
      <c r="Q56" s="58">
        <f aca="true" t="shared" si="31" ref="Q56:Q61">+O56+P56</f>
        <v>695452.8600000001</v>
      </c>
      <c r="R56" s="18">
        <v>359916.79</v>
      </c>
      <c r="S56" s="58">
        <f aca="true" t="shared" si="32" ref="S56:S61">+Q56+R56</f>
        <v>1055369.6500000001</v>
      </c>
      <c r="T56" s="18">
        <v>20000</v>
      </c>
      <c r="U56" s="58">
        <f aca="true" t="shared" si="33" ref="U56:U61">+S56+T56</f>
        <v>1075369.6500000001</v>
      </c>
      <c r="V56" s="18">
        <v>20000</v>
      </c>
      <c r="W56" s="58">
        <f aca="true" t="shared" si="34" ref="W56:W61">+U56+V56</f>
        <v>1095369.6500000001</v>
      </c>
      <c r="X56" s="18">
        <v>20000</v>
      </c>
      <c r="Y56" s="58">
        <f aca="true" t="shared" si="35" ref="Y56:Y61">+W56+X56</f>
        <v>1115369.6500000001</v>
      </c>
      <c r="Z56" s="18">
        <v>135760.6</v>
      </c>
      <c r="AA56" s="58">
        <f aca="true" t="shared" si="36" ref="AA56:AA61">+Y56+Z56</f>
        <v>1251130.2500000002</v>
      </c>
      <c r="AB56" s="18">
        <v>20000</v>
      </c>
      <c r="AC56" s="15">
        <f aca="true" t="shared" si="37" ref="AC56:AC61">+AA56+AB56</f>
        <v>1271130.2500000002</v>
      </c>
      <c r="AD56" s="15">
        <f aca="true" t="shared" si="38" ref="AD56:AD61">+E56-AC56</f>
        <v>0</v>
      </c>
    </row>
    <row r="57" spans="1:31" ht="15">
      <c r="A57" s="29"/>
      <c r="B57" s="57">
        <v>2121</v>
      </c>
      <c r="C57" s="14" t="s">
        <v>57</v>
      </c>
      <c r="D57" s="18">
        <v>0</v>
      </c>
      <c r="E57" s="18">
        <v>0</v>
      </c>
      <c r="F57" s="18">
        <v>0</v>
      </c>
      <c r="G57" s="58">
        <f t="shared" si="26"/>
        <v>0</v>
      </c>
      <c r="H57" s="18">
        <v>0</v>
      </c>
      <c r="I57" s="58">
        <f t="shared" si="27"/>
        <v>0</v>
      </c>
      <c r="J57" s="18">
        <v>0</v>
      </c>
      <c r="K57" s="58">
        <f t="shared" si="28"/>
        <v>0</v>
      </c>
      <c r="L57" s="18">
        <v>0</v>
      </c>
      <c r="M57" s="58">
        <f t="shared" si="29"/>
        <v>0</v>
      </c>
      <c r="N57" s="18">
        <v>0</v>
      </c>
      <c r="O57" s="58">
        <f t="shared" si="30"/>
        <v>0</v>
      </c>
      <c r="P57" s="18">
        <v>0</v>
      </c>
      <c r="Q57" s="58">
        <f t="shared" si="31"/>
        <v>0</v>
      </c>
      <c r="R57" s="18">
        <v>0</v>
      </c>
      <c r="S57" s="58">
        <f t="shared" si="32"/>
        <v>0</v>
      </c>
      <c r="T57" s="18">
        <v>0</v>
      </c>
      <c r="U57" s="58">
        <f t="shared" si="33"/>
        <v>0</v>
      </c>
      <c r="V57" s="18">
        <v>0</v>
      </c>
      <c r="W57" s="58">
        <f t="shared" si="34"/>
        <v>0</v>
      </c>
      <c r="X57" s="18">
        <v>0</v>
      </c>
      <c r="Y57" s="58">
        <f t="shared" si="35"/>
        <v>0</v>
      </c>
      <c r="Z57" s="18">
        <v>0</v>
      </c>
      <c r="AA57" s="58">
        <f t="shared" si="36"/>
        <v>0</v>
      </c>
      <c r="AB57" s="18">
        <v>0</v>
      </c>
      <c r="AC57" s="15">
        <f t="shared" si="37"/>
        <v>0</v>
      </c>
      <c r="AD57" s="15">
        <f t="shared" si="38"/>
        <v>0</v>
      </c>
      <c r="AE57" s="15"/>
    </row>
    <row r="58" spans="1:31" ht="15.75">
      <c r="A58" s="29"/>
      <c r="B58" s="57">
        <v>2141</v>
      </c>
      <c r="C58" s="14" t="s">
        <v>114</v>
      </c>
      <c r="D58" s="18">
        <v>909438.5000000001</v>
      </c>
      <c r="E58" s="286">
        <f>909438.5+16000</f>
        <v>925438.5</v>
      </c>
      <c r="F58" s="18">
        <v>0</v>
      </c>
      <c r="G58" s="58">
        <f t="shared" si="26"/>
        <v>0</v>
      </c>
      <c r="H58" s="18">
        <v>0</v>
      </c>
      <c r="I58" s="58">
        <f t="shared" si="27"/>
        <v>0</v>
      </c>
      <c r="J58" s="286">
        <f>0+16000</f>
        <v>16000</v>
      </c>
      <c r="K58" s="58">
        <f t="shared" si="28"/>
        <v>16000</v>
      </c>
      <c r="L58" s="18">
        <v>781820.6700000002</v>
      </c>
      <c r="M58" s="58">
        <f t="shared" si="29"/>
        <v>797820.6700000002</v>
      </c>
      <c r="N58" s="18">
        <v>0</v>
      </c>
      <c r="O58" s="58">
        <f t="shared" si="30"/>
        <v>797820.6700000002</v>
      </c>
      <c r="P58" s="18">
        <v>0</v>
      </c>
      <c r="Q58" s="58">
        <f t="shared" si="31"/>
        <v>797820.6700000002</v>
      </c>
      <c r="R58" s="18">
        <v>42041.7</v>
      </c>
      <c r="S58" s="58">
        <f t="shared" si="32"/>
        <v>839862.3700000001</v>
      </c>
      <c r="T58" s="18">
        <v>0</v>
      </c>
      <c r="U58" s="58">
        <f t="shared" si="33"/>
        <v>839862.3700000001</v>
      </c>
      <c r="V58" s="18">
        <v>0</v>
      </c>
      <c r="W58" s="58">
        <f t="shared" si="34"/>
        <v>839862.3700000001</v>
      </c>
      <c r="X58" s="18">
        <v>0</v>
      </c>
      <c r="Y58" s="58">
        <f t="shared" si="35"/>
        <v>839862.3700000001</v>
      </c>
      <c r="Z58" s="18">
        <v>85576.13</v>
      </c>
      <c r="AA58" s="58">
        <f t="shared" si="36"/>
        <v>925438.5000000001</v>
      </c>
      <c r="AB58" s="18">
        <v>0</v>
      </c>
      <c r="AC58" s="15">
        <f t="shared" si="37"/>
        <v>925438.5000000001</v>
      </c>
      <c r="AD58" s="15">
        <f t="shared" si="38"/>
        <v>0</v>
      </c>
      <c r="AE58" s="15"/>
    </row>
    <row r="59" spans="1:30" ht="15.75">
      <c r="A59" s="29"/>
      <c r="B59" s="57">
        <v>2151</v>
      </c>
      <c r="C59" s="14" t="s">
        <v>116</v>
      </c>
      <c r="D59" s="18">
        <v>185759.04</v>
      </c>
      <c r="E59" s="286">
        <f>185759.04+480</f>
        <v>186239.04</v>
      </c>
      <c r="F59" s="18">
        <v>27124.54</v>
      </c>
      <c r="G59" s="58">
        <f t="shared" si="26"/>
        <v>27124.54</v>
      </c>
      <c r="H59" s="18">
        <v>6965.5</v>
      </c>
      <c r="I59" s="58">
        <f t="shared" si="27"/>
        <v>34090.04</v>
      </c>
      <c r="J59" s="286">
        <f>6965.5+480</f>
        <v>7445.5</v>
      </c>
      <c r="K59" s="58">
        <f t="shared" si="28"/>
        <v>41535.54</v>
      </c>
      <c r="L59" s="18">
        <v>6965.5</v>
      </c>
      <c r="M59" s="58">
        <f t="shared" si="29"/>
        <v>48501.04</v>
      </c>
      <c r="N59" s="18">
        <v>6965.5</v>
      </c>
      <c r="O59" s="58">
        <f t="shared" si="30"/>
        <v>55466.54</v>
      </c>
      <c r="P59" s="18">
        <v>6965.5</v>
      </c>
      <c r="Q59" s="58">
        <f t="shared" si="31"/>
        <v>62432.04</v>
      </c>
      <c r="R59" s="18">
        <v>6965.5</v>
      </c>
      <c r="S59" s="58">
        <f t="shared" si="32"/>
        <v>69397.54000000001</v>
      </c>
      <c r="T59" s="18">
        <v>6965.5</v>
      </c>
      <c r="U59" s="58">
        <f t="shared" si="33"/>
        <v>76363.04000000001</v>
      </c>
      <c r="V59" s="18">
        <v>6965.5</v>
      </c>
      <c r="W59" s="58">
        <f t="shared" si="34"/>
        <v>83328.54000000001</v>
      </c>
      <c r="X59" s="18">
        <v>6965.5</v>
      </c>
      <c r="Y59" s="58">
        <f t="shared" si="35"/>
        <v>90294.04000000001</v>
      </c>
      <c r="Z59" s="18">
        <v>88979.5</v>
      </c>
      <c r="AA59" s="58">
        <f t="shared" si="36"/>
        <v>179273.54</v>
      </c>
      <c r="AB59" s="18">
        <v>6965.5</v>
      </c>
      <c r="AC59" s="15">
        <f t="shared" si="37"/>
        <v>186239.04</v>
      </c>
      <c r="AD59" s="15">
        <f t="shared" si="38"/>
        <v>0</v>
      </c>
    </row>
    <row r="60" spans="1:31" ht="15.75">
      <c r="A60" s="29"/>
      <c r="B60" s="57">
        <v>2161</v>
      </c>
      <c r="C60" s="14" t="s">
        <v>45</v>
      </c>
      <c r="D60" s="18">
        <v>0</v>
      </c>
      <c r="E60" s="286">
        <f>0+116+4829.15</f>
        <v>4945.15</v>
      </c>
      <c r="F60" s="18">
        <v>0</v>
      </c>
      <c r="G60" s="58">
        <f t="shared" si="26"/>
        <v>0</v>
      </c>
      <c r="H60" s="286">
        <f>0+116</f>
        <v>116</v>
      </c>
      <c r="I60" s="58">
        <f t="shared" si="27"/>
        <v>116</v>
      </c>
      <c r="J60" s="286">
        <f>0+4829.15</f>
        <v>4829.15</v>
      </c>
      <c r="K60" s="58">
        <f t="shared" si="28"/>
        <v>4945.15</v>
      </c>
      <c r="L60" s="18">
        <v>0</v>
      </c>
      <c r="M60" s="58">
        <f t="shared" si="29"/>
        <v>4945.15</v>
      </c>
      <c r="N60" s="18">
        <v>0</v>
      </c>
      <c r="O60" s="58">
        <f t="shared" si="30"/>
        <v>4945.15</v>
      </c>
      <c r="P60" s="18">
        <v>0</v>
      </c>
      <c r="Q60" s="58">
        <f t="shared" si="31"/>
        <v>4945.15</v>
      </c>
      <c r="R60" s="18">
        <v>0</v>
      </c>
      <c r="S60" s="58">
        <f t="shared" si="32"/>
        <v>4945.15</v>
      </c>
      <c r="T60" s="18">
        <v>0</v>
      </c>
      <c r="U60" s="58">
        <f t="shared" si="33"/>
        <v>4945.15</v>
      </c>
      <c r="V60" s="18">
        <v>0</v>
      </c>
      <c r="W60" s="58">
        <f t="shared" si="34"/>
        <v>4945.15</v>
      </c>
      <c r="X60" s="18">
        <v>0</v>
      </c>
      <c r="Y60" s="58">
        <f t="shared" si="35"/>
        <v>4945.15</v>
      </c>
      <c r="Z60" s="18">
        <v>0</v>
      </c>
      <c r="AA60" s="58">
        <f t="shared" si="36"/>
        <v>4945.15</v>
      </c>
      <c r="AB60" s="18">
        <v>0</v>
      </c>
      <c r="AC60" s="15">
        <f t="shared" si="37"/>
        <v>4945.15</v>
      </c>
      <c r="AD60" s="15">
        <f t="shared" si="38"/>
        <v>0</v>
      </c>
      <c r="AE60" s="15"/>
    </row>
    <row r="61" spans="1:31" ht="15">
      <c r="A61" s="29"/>
      <c r="B61" s="57">
        <v>2171</v>
      </c>
      <c r="C61" s="14" t="s">
        <v>115</v>
      </c>
      <c r="D61" s="18">
        <v>0</v>
      </c>
      <c r="E61" s="18">
        <v>0</v>
      </c>
      <c r="F61" s="18">
        <v>0</v>
      </c>
      <c r="G61" s="58">
        <f t="shared" si="26"/>
        <v>0</v>
      </c>
      <c r="H61" s="18">
        <v>0</v>
      </c>
      <c r="I61" s="58">
        <f t="shared" si="27"/>
        <v>0</v>
      </c>
      <c r="J61" s="18">
        <v>0</v>
      </c>
      <c r="K61" s="58">
        <f t="shared" si="28"/>
        <v>0</v>
      </c>
      <c r="L61" s="18">
        <v>0</v>
      </c>
      <c r="M61" s="58">
        <f t="shared" si="29"/>
        <v>0</v>
      </c>
      <c r="N61" s="18">
        <v>0</v>
      </c>
      <c r="O61" s="58">
        <f t="shared" si="30"/>
        <v>0</v>
      </c>
      <c r="P61" s="18">
        <v>0</v>
      </c>
      <c r="Q61" s="58">
        <f t="shared" si="31"/>
        <v>0</v>
      </c>
      <c r="R61" s="18">
        <v>0</v>
      </c>
      <c r="S61" s="58">
        <f t="shared" si="32"/>
        <v>0</v>
      </c>
      <c r="T61" s="18">
        <v>0</v>
      </c>
      <c r="U61" s="58">
        <f t="shared" si="33"/>
        <v>0</v>
      </c>
      <c r="V61" s="18">
        <v>0</v>
      </c>
      <c r="W61" s="58">
        <f t="shared" si="34"/>
        <v>0</v>
      </c>
      <c r="X61" s="18">
        <v>0</v>
      </c>
      <c r="Y61" s="58">
        <f t="shared" si="35"/>
        <v>0</v>
      </c>
      <c r="Z61" s="18">
        <v>0</v>
      </c>
      <c r="AA61" s="58">
        <f t="shared" si="36"/>
        <v>0</v>
      </c>
      <c r="AB61" s="18">
        <v>0</v>
      </c>
      <c r="AC61" s="15">
        <f t="shared" si="37"/>
        <v>0</v>
      </c>
      <c r="AD61" s="15">
        <f t="shared" si="38"/>
        <v>0</v>
      </c>
      <c r="AE61" s="15"/>
    </row>
    <row r="62" spans="1:29" ht="15">
      <c r="A62" s="29"/>
      <c r="B62" s="66"/>
      <c r="C62" s="14"/>
      <c r="D62" s="15"/>
      <c r="E62" s="15"/>
      <c r="F62" s="15"/>
      <c r="G62" s="76"/>
      <c r="H62" s="15"/>
      <c r="I62" s="76"/>
      <c r="J62" s="15"/>
      <c r="K62" s="59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</row>
    <row r="63" spans="1:30" ht="15.75">
      <c r="A63" s="29"/>
      <c r="B63" s="69">
        <v>2200</v>
      </c>
      <c r="C63" s="77" t="s">
        <v>46</v>
      </c>
      <c r="D63" s="70">
        <f>SUM(D64:D65)</f>
        <v>360000</v>
      </c>
      <c r="E63" s="70">
        <f>SUM(E64:E65)</f>
        <v>345327.13999999996</v>
      </c>
      <c r="F63" s="70">
        <f>SUM(F64:F65)</f>
        <v>30000</v>
      </c>
      <c r="G63" s="70">
        <f aca="true" t="shared" si="39" ref="G63:AC63">SUM(G64:G65)</f>
        <v>30000</v>
      </c>
      <c r="H63" s="70">
        <f>SUM(H64:H65)</f>
        <v>26095.989999999998</v>
      </c>
      <c r="I63" s="70">
        <f t="shared" si="39"/>
        <v>56095.99</v>
      </c>
      <c r="J63" s="70">
        <f>SUM(J64:J65)</f>
        <v>19231.149999999998</v>
      </c>
      <c r="K63" s="70">
        <f t="shared" si="39"/>
        <v>75327.14</v>
      </c>
      <c r="L63" s="70">
        <f>SUM(L64:L65)</f>
        <v>30000</v>
      </c>
      <c r="M63" s="70">
        <f t="shared" si="39"/>
        <v>105327.14</v>
      </c>
      <c r="N63" s="70">
        <f>SUM(N64:N65)</f>
        <v>30000</v>
      </c>
      <c r="O63" s="70">
        <f t="shared" si="39"/>
        <v>135327.14</v>
      </c>
      <c r="P63" s="70">
        <f>SUM(P64:P65)</f>
        <v>30000</v>
      </c>
      <c r="Q63" s="70">
        <f t="shared" si="39"/>
        <v>165327.14</v>
      </c>
      <c r="R63" s="70">
        <f>SUM(R64:R65)</f>
        <v>30000</v>
      </c>
      <c r="S63" s="70">
        <f t="shared" si="39"/>
        <v>195327.14</v>
      </c>
      <c r="T63" s="70">
        <f>SUM(T64:T65)</f>
        <v>30000</v>
      </c>
      <c r="U63" s="70">
        <f t="shared" si="39"/>
        <v>225327.14</v>
      </c>
      <c r="V63" s="70">
        <f>SUM(V64:V65)</f>
        <v>30000</v>
      </c>
      <c r="W63" s="70">
        <f t="shared" si="39"/>
        <v>255327.14</v>
      </c>
      <c r="X63" s="70">
        <f>SUM(X64:X65)</f>
        <v>30000</v>
      </c>
      <c r="Y63" s="70">
        <f t="shared" si="39"/>
        <v>285327.14</v>
      </c>
      <c r="Z63" s="70">
        <f>SUM(Z64:Z65)</f>
        <v>30000</v>
      </c>
      <c r="AA63" s="70">
        <f t="shared" si="39"/>
        <v>315327.14</v>
      </c>
      <c r="AB63" s="70">
        <f>SUM(AB64:AB65)</f>
        <v>30000</v>
      </c>
      <c r="AC63" s="70">
        <f t="shared" si="39"/>
        <v>345327.14</v>
      </c>
      <c r="AD63" s="70">
        <f>SUM(AD64:AD65)</f>
        <v>0</v>
      </c>
    </row>
    <row r="64" spans="1:30" ht="15.75">
      <c r="A64" s="29"/>
      <c r="B64" s="57">
        <v>2211</v>
      </c>
      <c r="C64" s="14" t="s">
        <v>117</v>
      </c>
      <c r="D64" s="18">
        <v>360000</v>
      </c>
      <c r="E64" s="286">
        <f>360000+4092-6392.01-1604-16849.9+6081.05</f>
        <v>345327.13999999996</v>
      </c>
      <c r="F64" s="18">
        <v>30000</v>
      </c>
      <c r="G64" s="58">
        <f>+F64</f>
        <v>30000</v>
      </c>
      <c r="H64" s="286">
        <f>30000+4092-6392.01-1604</f>
        <v>26095.989999999998</v>
      </c>
      <c r="I64" s="58">
        <f>+G64+H64</f>
        <v>56095.99</v>
      </c>
      <c r="J64" s="286">
        <f>30000-16849.9+6081.05</f>
        <v>19231.149999999998</v>
      </c>
      <c r="K64" s="58">
        <f>+I64+J64</f>
        <v>75327.14</v>
      </c>
      <c r="L64" s="18">
        <v>30000</v>
      </c>
      <c r="M64" s="58">
        <f>+K64+L64</f>
        <v>105327.14</v>
      </c>
      <c r="N64" s="18">
        <v>30000</v>
      </c>
      <c r="O64" s="58">
        <f>+M64+N64</f>
        <v>135327.14</v>
      </c>
      <c r="P64" s="18">
        <v>30000</v>
      </c>
      <c r="Q64" s="58">
        <f>+O64+P64</f>
        <v>165327.14</v>
      </c>
      <c r="R64" s="18">
        <v>30000</v>
      </c>
      <c r="S64" s="58">
        <f>+Q64+R64</f>
        <v>195327.14</v>
      </c>
      <c r="T64" s="18">
        <v>30000</v>
      </c>
      <c r="U64" s="58">
        <f>+S64+T64</f>
        <v>225327.14</v>
      </c>
      <c r="V64" s="18">
        <v>30000</v>
      </c>
      <c r="W64" s="58">
        <f>+U64+V64</f>
        <v>255327.14</v>
      </c>
      <c r="X64" s="18">
        <v>30000</v>
      </c>
      <c r="Y64" s="58">
        <f>+W64+X64</f>
        <v>285327.14</v>
      </c>
      <c r="Z64" s="18">
        <v>30000</v>
      </c>
      <c r="AA64" s="58">
        <f>+Y64+Z64</f>
        <v>315327.14</v>
      </c>
      <c r="AB64" s="18">
        <v>30000</v>
      </c>
      <c r="AC64" s="15">
        <f>+AA64+AB64</f>
        <v>345327.14</v>
      </c>
      <c r="AD64" s="15">
        <f>+E64-AC64</f>
        <v>0</v>
      </c>
    </row>
    <row r="65" spans="1:30" ht="15">
      <c r="A65" s="29"/>
      <c r="B65" s="57">
        <v>2231</v>
      </c>
      <c r="C65" s="14" t="s">
        <v>8</v>
      </c>
      <c r="D65" s="18">
        <v>0</v>
      </c>
      <c r="E65" s="18">
        <v>0</v>
      </c>
      <c r="F65" s="18">
        <v>0</v>
      </c>
      <c r="G65" s="58">
        <f>+F65</f>
        <v>0</v>
      </c>
      <c r="H65" s="18">
        <v>0</v>
      </c>
      <c r="I65" s="58">
        <f>+G65+H65</f>
        <v>0</v>
      </c>
      <c r="J65" s="18">
        <v>0</v>
      </c>
      <c r="K65" s="58">
        <f>+I65+J65</f>
        <v>0</v>
      </c>
      <c r="L65" s="18">
        <v>0</v>
      </c>
      <c r="M65" s="58">
        <f>+K65+L65</f>
        <v>0</v>
      </c>
      <c r="N65" s="18">
        <v>0</v>
      </c>
      <c r="O65" s="58">
        <f>+M65+N65</f>
        <v>0</v>
      </c>
      <c r="P65" s="18">
        <v>0</v>
      </c>
      <c r="Q65" s="58">
        <f>+O65+P65</f>
        <v>0</v>
      </c>
      <c r="R65" s="18">
        <v>0</v>
      </c>
      <c r="S65" s="58">
        <f>+Q65+R65</f>
        <v>0</v>
      </c>
      <c r="T65" s="18">
        <v>0</v>
      </c>
      <c r="U65" s="58">
        <f>+S65+T65</f>
        <v>0</v>
      </c>
      <c r="V65" s="18">
        <v>0</v>
      </c>
      <c r="W65" s="58">
        <f>+U65+V65</f>
        <v>0</v>
      </c>
      <c r="X65" s="18">
        <v>0</v>
      </c>
      <c r="Y65" s="58">
        <f>+W65+X65</f>
        <v>0</v>
      </c>
      <c r="Z65" s="18">
        <v>0</v>
      </c>
      <c r="AA65" s="58">
        <f>+Y65+Z65</f>
        <v>0</v>
      </c>
      <c r="AB65" s="18">
        <v>0</v>
      </c>
      <c r="AC65" s="15">
        <f>+AA65+AB65</f>
        <v>0</v>
      </c>
      <c r="AD65" s="15">
        <f>+E65-AC65</f>
        <v>0</v>
      </c>
    </row>
    <row r="66" spans="1:30" ht="15" customHeight="1">
      <c r="A66" s="29"/>
      <c r="B66" s="66"/>
      <c r="C66" s="14"/>
      <c r="D66" s="15"/>
      <c r="E66" s="15"/>
      <c r="F66" s="15"/>
      <c r="G66" s="59"/>
      <c r="H66" s="15"/>
      <c r="I66" s="59"/>
      <c r="J66" s="15"/>
      <c r="K66" s="59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41"/>
    </row>
    <row r="67" spans="1:30" ht="15.75">
      <c r="A67" s="29"/>
      <c r="B67" s="69">
        <v>2400</v>
      </c>
      <c r="C67" s="67" t="s">
        <v>186</v>
      </c>
      <c r="D67" s="70">
        <f>SUM(D68:D76)</f>
        <v>1689826</v>
      </c>
      <c r="E67" s="70">
        <f>SUM(E68:E76)</f>
        <v>1712497.0400000003</v>
      </c>
      <c r="F67" s="70">
        <f>SUM(F68:F76)</f>
        <v>0</v>
      </c>
      <c r="G67" s="70">
        <f aca="true" t="shared" si="40" ref="G67:AC67">SUM(G68:G76)</f>
        <v>0</v>
      </c>
      <c r="H67" s="70">
        <f>SUM(H68:H76)</f>
        <v>450.39</v>
      </c>
      <c r="I67" s="70">
        <f t="shared" si="40"/>
        <v>450.39</v>
      </c>
      <c r="J67" s="70">
        <f>SUM(J68:J76)</f>
        <v>22220.649999999998</v>
      </c>
      <c r="K67" s="70">
        <f t="shared" si="40"/>
        <v>22671.039999999997</v>
      </c>
      <c r="L67" s="70">
        <f>SUM(L68:L76)</f>
        <v>187118.96000000002</v>
      </c>
      <c r="M67" s="70">
        <f t="shared" si="40"/>
        <v>209790.00000000003</v>
      </c>
      <c r="N67" s="70">
        <f>SUM(N68:N76)</f>
        <v>0</v>
      </c>
      <c r="O67" s="70">
        <f t="shared" si="40"/>
        <v>209790.00000000003</v>
      </c>
      <c r="P67" s="70">
        <f>SUM(P68:P76)</f>
        <v>0</v>
      </c>
      <c r="Q67" s="70">
        <f t="shared" si="40"/>
        <v>209790.00000000003</v>
      </c>
      <c r="R67" s="70">
        <f>SUM(R68:R76)</f>
        <v>72181.31</v>
      </c>
      <c r="S67" s="70">
        <f t="shared" si="40"/>
        <v>281971.31000000006</v>
      </c>
      <c r="T67" s="70">
        <f>SUM(T68:T76)</f>
        <v>0</v>
      </c>
      <c r="U67" s="70">
        <f t="shared" si="40"/>
        <v>281971.31000000006</v>
      </c>
      <c r="V67" s="70">
        <f>SUM(V68:V76)</f>
        <v>0</v>
      </c>
      <c r="W67" s="70">
        <f t="shared" si="40"/>
        <v>281971.31000000006</v>
      </c>
      <c r="X67" s="70">
        <f>SUM(X68:X76)</f>
        <v>0</v>
      </c>
      <c r="Y67" s="70">
        <f t="shared" si="40"/>
        <v>281971.31000000006</v>
      </c>
      <c r="Z67" s="70">
        <f>SUM(Z68:Z76)</f>
        <v>1430525.73</v>
      </c>
      <c r="AA67" s="70">
        <f t="shared" si="40"/>
        <v>1712497.04</v>
      </c>
      <c r="AB67" s="70">
        <f>SUM(AB68:AB76)</f>
        <v>0</v>
      </c>
      <c r="AC67" s="70">
        <f t="shared" si="40"/>
        <v>1712497.04</v>
      </c>
      <c r="AD67" s="70">
        <f>SUM(AD68:AD76)</f>
        <v>0</v>
      </c>
    </row>
    <row r="68" spans="1:31" ht="15">
      <c r="A68" s="29"/>
      <c r="B68" s="57">
        <v>2419</v>
      </c>
      <c r="C68" s="14" t="s">
        <v>118</v>
      </c>
      <c r="D68" s="18">
        <v>0</v>
      </c>
      <c r="E68" s="18">
        <v>0</v>
      </c>
      <c r="F68" s="18">
        <v>0</v>
      </c>
      <c r="G68" s="58">
        <f aca="true" t="shared" si="41" ref="G68:G76">+F68</f>
        <v>0</v>
      </c>
      <c r="H68" s="18">
        <v>0</v>
      </c>
      <c r="I68" s="58">
        <f aca="true" t="shared" si="42" ref="I68:I76">+G68+H68</f>
        <v>0</v>
      </c>
      <c r="J68" s="18">
        <v>0</v>
      </c>
      <c r="K68" s="58">
        <f aca="true" t="shared" si="43" ref="K68:K76">+I68+J68</f>
        <v>0</v>
      </c>
      <c r="L68" s="18">
        <v>0</v>
      </c>
      <c r="M68" s="58">
        <f aca="true" t="shared" si="44" ref="M68:M76">+K68+L68</f>
        <v>0</v>
      </c>
      <c r="N68" s="18">
        <v>0</v>
      </c>
      <c r="O68" s="58">
        <f aca="true" t="shared" si="45" ref="O68:O76">+M68+N68</f>
        <v>0</v>
      </c>
      <c r="P68" s="18">
        <v>0</v>
      </c>
      <c r="Q68" s="58">
        <f aca="true" t="shared" si="46" ref="Q68:Q76">+O68+P68</f>
        <v>0</v>
      </c>
      <c r="R68" s="18">
        <v>0</v>
      </c>
      <c r="S68" s="58">
        <f aca="true" t="shared" si="47" ref="S68:S76">+Q68+R68</f>
        <v>0</v>
      </c>
      <c r="T68" s="18">
        <v>0</v>
      </c>
      <c r="U68" s="58">
        <f aca="true" t="shared" si="48" ref="U68:U76">+S68+T68</f>
        <v>0</v>
      </c>
      <c r="V68" s="18">
        <v>0</v>
      </c>
      <c r="W68" s="58">
        <f aca="true" t="shared" si="49" ref="W68:W76">+U68+V68</f>
        <v>0</v>
      </c>
      <c r="X68" s="18">
        <v>0</v>
      </c>
      <c r="Y68" s="58">
        <f aca="true" t="shared" si="50" ref="Y68:Y76">+W68+X68</f>
        <v>0</v>
      </c>
      <c r="Z68" s="18">
        <v>0</v>
      </c>
      <c r="AA68" s="58">
        <f aca="true" t="shared" si="51" ref="AA68:AA76">+Y68+Z68</f>
        <v>0</v>
      </c>
      <c r="AB68" s="18">
        <v>0</v>
      </c>
      <c r="AC68" s="15">
        <f aca="true" t="shared" si="52" ref="AC68:AC76">+AA68+AB68</f>
        <v>0</v>
      </c>
      <c r="AD68" s="15">
        <f aca="true" t="shared" si="53" ref="AD68:AD76">+E68-AC68</f>
        <v>0</v>
      </c>
      <c r="AE68" s="15"/>
    </row>
    <row r="69" spans="1:31" ht="15">
      <c r="A69" s="29"/>
      <c r="B69" s="57">
        <v>2421</v>
      </c>
      <c r="C69" s="14" t="s">
        <v>119</v>
      </c>
      <c r="D69" s="18">
        <v>0</v>
      </c>
      <c r="E69" s="18">
        <v>0</v>
      </c>
      <c r="F69" s="18">
        <v>0</v>
      </c>
      <c r="G69" s="58">
        <f t="shared" si="41"/>
        <v>0</v>
      </c>
      <c r="H69" s="18">
        <v>0</v>
      </c>
      <c r="I69" s="58">
        <f t="shared" si="42"/>
        <v>0</v>
      </c>
      <c r="J69" s="18">
        <v>0</v>
      </c>
      <c r="K69" s="58">
        <f t="shared" si="43"/>
        <v>0</v>
      </c>
      <c r="L69" s="18">
        <v>0</v>
      </c>
      <c r="M69" s="58">
        <f t="shared" si="44"/>
        <v>0</v>
      </c>
      <c r="N69" s="18">
        <v>0</v>
      </c>
      <c r="O69" s="58">
        <f t="shared" si="45"/>
        <v>0</v>
      </c>
      <c r="P69" s="18">
        <v>0</v>
      </c>
      <c r="Q69" s="58">
        <f t="shared" si="46"/>
        <v>0</v>
      </c>
      <c r="R69" s="18">
        <v>0</v>
      </c>
      <c r="S69" s="58">
        <f t="shared" si="47"/>
        <v>0</v>
      </c>
      <c r="T69" s="18">
        <v>0</v>
      </c>
      <c r="U69" s="58">
        <f t="shared" si="48"/>
        <v>0</v>
      </c>
      <c r="V69" s="18">
        <v>0</v>
      </c>
      <c r="W69" s="58">
        <f t="shared" si="49"/>
        <v>0</v>
      </c>
      <c r="X69" s="18">
        <v>0</v>
      </c>
      <c r="Y69" s="58">
        <f t="shared" si="50"/>
        <v>0</v>
      </c>
      <c r="Z69" s="18">
        <v>0</v>
      </c>
      <c r="AA69" s="58">
        <f t="shared" si="51"/>
        <v>0</v>
      </c>
      <c r="AB69" s="18">
        <v>0</v>
      </c>
      <c r="AC69" s="15">
        <f t="shared" si="52"/>
        <v>0</v>
      </c>
      <c r="AD69" s="15">
        <f t="shared" si="53"/>
        <v>0</v>
      </c>
      <c r="AE69" s="15"/>
    </row>
    <row r="70" spans="1:31" ht="15">
      <c r="A70" s="29"/>
      <c r="B70" s="57">
        <v>2431</v>
      </c>
      <c r="C70" s="14" t="s">
        <v>120</v>
      </c>
      <c r="D70" s="18">
        <v>0</v>
      </c>
      <c r="E70" s="18">
        <v>0</v>
      </c>
      <c r="F70" s="18">
        <v>0</v>
      </c>
      <c r="G70" s="58">
        <f t="shared" si="41"/>
        <v>0</v>
      </c>
      <c r="H70" s="18">
        <v>0</v>
      </c>
      <c r="I70" s="58">
        <f t="shared" si="42"/>
        <v>0</v>
      </c>
      <c r="J70" s="18">
        <v>0</v>
      </c>
      <c r="K70" s="58">
        <f t="shared" si="43"/>
        <v>0</v>
      </c>
      <c r="L70" s="18">
        <v>0</v>
      </c>
      <c r="M70" s="58">
        <f t="shared" si="44"/>
        <v>0</v>
      </c>
      <c r="N70" s="18">
        <v>0</v>
      </c>
      <c r="O70" s="58">
        <f t="shared" si="45"/>
        <v>0</v>
      </c>
      <c r="P70" s="18">
        <v>0</v>
      </c>
      <c r="Q70" s="58">
        <f t="shared" si="46"/>
        <v>0</v>
      </c>
      <c r="R70" s="18">
        <v>0</v>
      </c>
      <c r="S70" s="58">
        <f t="shared" si="47"/>
        <v>0</v>
      </c>
      <c r="T70" s="18">
        <v>0</v>
      </c>
      <c r="U70" s="58">
        <f t="shared" si="48"/>
        <v>0</v>
      </c>
      <c r="V70" s="18">
        <v>0</v>
      </c>
      <c r="W70" s="58">
        <f t="shared" si="49"/>
        <v>0</v>
      </c>
      <c r="X70" s="18">
        <v>0</v>
      </c>
      <c r="Y70" s="58">
        <f t="shared" si="50"/>
        <v>0</v>
      </c>
      <c r="Z70" s="18">
        <v>0</v>
      </c>
      <c r="AA70" s="58">
        <f t="shared" si="51"/>
        <v>0</v>
      </c>
      <c r="AB70" s="18">
        <v>0</v>
      </c>
      <c r="AC70" s="15">
        <f t="shared" si="52"/>
        <v>0</v>
      </c>
      <c r="AD70" s="15">
        <f t="shared" si="53"/>
        <v>0</v>
      </c>
      <c r="AE70" s="15"/>
    </row>
    <row r="71" spans="1:30" ht="15">
      <c r="A71" s="29"/>
      <c r="B71" s="57">
        <v>2441</v>
      </c>
      <c r="C71" s="14" t="s">
        <v>121</v>
      </c>
      <c r="D71" s="18">
        <v>0</v>
      </c>
      <c r="E71" s="18">
        <v>0</v>
      </c>
      <c r="F71" s="18">
        <v>0</v>
      </c>
      <c r="G71" s="58">
        <f t="shared" si="41"/>
        <v>0</v>
      </c>
      <c r="H71" s="18">
        <v>0</v>
      </c>
      <c r="I71" s="58">
        <f t="shared" si="42"/>
        <v>0</v>
      </c>
      <c r="J71" s="18">
        <v>0</v>
      </c>
      <c r="K71" s="58">
        <f t="shared" si="43"/>
        <v>0</v>
      </c>
      <c r="L71" s="18">
        <v>0</v>
      </c>
      <c r="M71" s="58">
        <f t="shared" si="44"/>
        <v>0</v>
      </c>
      <c r="N71" s="18">
        <v>0</v>
      </c>
      <c r="O71" s="58">
        <f t="shared" si="45"/>
        <v>0</v>
      </c>
      <c r="P71" s="18">
        <v>0</v>
      </c>
      <c r="Q71" s="58">
        <f t="shared" si="46"/>
        <v>0</v>
      </c>
      <c r="R71" s="18">
        <v>0</v>
      </c>
      <c r="S71" s="58">
        <f t="shared" si="47"/>
        <v>0</v>
      </c>
      <c r="T71" s="18">
        <v>0</v>
      </c>
      <c r="U71" s="58">
        <f t="shared" si="48"/>
        <v>0</v>
      </c>
      <c r="V71" s="18">
        <v>0</v>
      </c>
      <c r="W71" s="58">
        <f t="shared" si="49"/>
        <v>0</v>
      </c>
      <c r="X71" s="18">
        <v>0</v>
      </c>
      <c r="Y71" s="58">
        <f t="shared" si="50"/>
        <v>0</v>
      </c>
      <c r="Z71" s="18">
        <v>0</v>
      </c>
      <c r="AA71" s="58">
        <f t="shared" si="51"/>
        <v>0</v>
      </c>
      <c r="AB71" s="18">
        <v>0</v>
      </c>
      <c r="AC71" s="15">
        <f t="shared" si="52"/>
        <v>0</v>
      </c>
      <c r="AD71" s="15">
        <f t="shared" si="53"/>
        <v>0</v>
      </c>
    </row>
    <row r="72" spans="1:30" ht="15">
      <c r="A72" s="29"/>
      <c r="B72" s="57">
        <v>2451</v>
      </c>
      <c r="C72" s="14" t="s">
        <v>122</v>
      </c>
      <c r="D72" s="18">
        <v>0</v>
      </c>
      <c r="E72" s="18">
        <v>0</v>
      </c>
      <c r="F72" s="18">
        <v>0</v>
      </c>
      <c r="G72" s="58">
        <f t="shared" si="41"/>
        <v>0</v>
      </c>
      <c r="H72" s="18">
        <v>0</v>
      </c>
      <c r="I72" s="58">
        <f t="shared" si="42"/>
        <v>0</v>
      </c>
      <c r="J72" s="18">
        <v>0</v>
      </c>
      <c r="K72" s="58">
        <f t="shared" si="43"/>
        <v>0</v>
      </c>
      <c r="L72" s="18">
        <v>0</v>
      </c>
      <c r="M72" s="58">
        <f t="shared" si="44"/>
        <v>0</v>
      </c>
      <c r="N72" s="18">
        <v>0</v>
      </c>
      <c r="O72" s="58">
        <f t="shared" si="45"/>
        <v>0</v>
      </c>
      <c r="P72" s="18">
        <v>0</v>
      </c>
      <c r="Q72" s="58">
        <f t="shared" si="46"/>
        <v>0</v>
      </c>
      <c r="R72" s="18">
        <v>0</v>
      </c>
      <c r="S72" s="58">
        <f t="shared" si="47"/>
        <v>0</v>
      </c>
      <c r="T72" s="18">
        <v>0</v>
      </c>
      <c r="U72" s="58">
        <f t="shared" si="48"/>
        <v>0</v>
      </c>
      <c r="V72" s="18">
        <v>0</v>
      </c>
      <c r="W72" s="58">
        <f t="shared" si="49"/>
        <v>0</v>
      </c>
      <c r="X72" s="18">
        <v>0</v>
      </c>
      <c r="Y72" s="58">
        <f t="shared" si="50"/>
        <v>0</v>
      </c>
      <c r="Z72" s="18">
        <v>0</v>
      </c>
      <c r="AA72" s="58">
        <f t="shared" si="51"/>
        <v>0</v>
      </c>
      <c r="AB72" s="18">
        <v>0</v>
      </c>
      <c r="AC72" s="15">
        <f t="shared" si="52"/>
        <v>0</v>
      </c>
      <c r="AD72" s="15">
        <f t="shared" si="53"/>
        <v>0</v>
      </c>
    </row>
    <row r="73" spans="1:30" ht="15.75">
      <c r="A73" s="29"/>
      <c r="B73" s="57">
        <v>2461</v>
      </c>
      <c r="C73" s="14" t="s">
        <v>123</v>
      </c>
      <c r="D73" s="18">
        <v>203888.66999999998</v>
      </c>
      <c r="E73" s="286">
        <f>203888.67+3600+16000</f>
        <v>223488.67</v>
      </c>
      <c r="F73" s="18">
        <v>0</v>
      </c>
      <c r="G73" s="58">
        <f t="shared" si="41"/>
        <v>0</v>
      </c>
      <c r="H73" s="18">
        <v>0</v>
      </c>
      <c r="I73" s="58">
        <f t="shared" si="42"/>
        <v>0</v>
      </c>
      <c r="J73" s="286">
        <f>0+3600+16000</f>
        <v>19600</v>
      </c>
      <c r="K73" s="58">
        <f t="shared" si="43"/>
        <v>19600</v>
      </c>
      <c r="L73" s="18">
        <v>85781.94</v>
      </c>
      <c r="M73" s="58">
        <f t="shared" si="44"/>
        <v>105381.94</v>
      </c>
      <c r="N73" s="18">
        <v>0</v>
      </c>
      <c r="O73" s="58">
        <f t="shared" si="45"/>
        <v>105381.94</v>
      </c>
      <c r="P73" s="18">
        <v>0</v>
      </c>
      <c r="Q73" s="58">
        <f t="shared" si="46"/>
        <v>105381.94</v>
      </c>
      <c r="R73" s="18">
        <v>39401.69</v>
      </c>
      <c r="S73" s="58">
        <f t="shared" si="47"/>
        <v>144783.63</v>
      </c>
      <c r="T73" s="18">
        <v>0</v>
      </c>
      <c r="U73" s="58">
        <f t="shared" si="48"/>
        <v>144783.63</v>
      </c>
      <c r="V73" s="18">
        <v>0</v>
      </c>
      <c r="W73" s="58">
        <f t="shared" si="49"/>
        <v>144783.63</v>
      </c>
      <c r="X73" s="18">
        <v>0</v>
      </c>
      <c r="Y73" s="58">
        <f t="shared" si="50"/>
        <v>144783.63</v>
      </c>
      <c r="Z73" s="18">
        <v>78705.04</v>
      </c>
      <c r="AA73" s="58">
        <f t="shared" si="51"/>
        <v>223488.66999999998</v>
      </c>
      <c r="AB73" s="18">
        <v>0</v>
      </c>
      <c r="AC73" s="15">
        <f t="shared" si="52"/>
        <v>223488.66999999998</v>
      </c>
      <c r="AD73" s="15">
        <f t="shared" si="53"/>
        <v>0</v>
      </c>
    </row>
    <row r="74" spans="1:30" ht="15.75">
      <c r="A74" s="29"/>
      <c r="B74" s="57">
        <v>2471</v>
      </c>
      <c r="C74" s="14" t="s">
        <v>124</v>
      </c>
      <c r="D74" s="18">
        <v>572811.9</v>
      </c>
      <c r="E74" s="286">
        <f>572811.9+1549.17</f>
        <v>574361.0700000001</v>
      </c>
      <c r="F74" s="18">
        <v>0</v>
      </c>
      <c r="G74" s="58">
        <f t="shared" si="41"/>
        <v>0</v>
      </c>
      <c r="H74" s="18">
        <v>0</v>
      </c>
      <c r="I74" s="58">
        <f t="shared" si="42"/>
        <v>0</v>
      </c>
      <c r="J74" s="286">
        <f>0+1549.17</f>
        <v>1549.17</v>
      </c>
      <c r="K74" s="58">
        <f t="shared" si="43"/>
        <v>1549.17</v>
      </c>
      <c r="L74" s="18">
        <v>31548.65</v>
      </c>
      <c r="M74" s="58">
        <f t="shared" si="44"/>
        <v>33097.82</v>
      </c>
      <c r="N74" s="18">
        <v>0</v>
      </c>
      <c r="O74" s="58">
        <f t="shared" si="45"/>
        <v>33097.82</v>
      </c>
      <c r="P74" s="18">
        <v>0</v>
      </c>
      <c r="Q74" s="58">
        <f t="shared" si="46"/>
        <v>33097.82</v>
      </c>
      <c r="R74" s="18">
        <v>6570.75</v>
      </c>
      <c r="S74" s="58">
        <f t="shared" si="47"/>
        <v>39668.57</v>
      </c>
      <c r="T74" s="18">
        <v>0</v>
      </c>
      <c r="U74" s="58">
        <f t="shared" si="48"/>
        <v>39668.57</v>
      </c>
      <c r="V74" s="18">
        <v>0</v>
      </c>
      <c r="W74" s="58">
        <f t="shared" si="49"/>
        <v>39668.57</v>
      </c>
      <c r="X74" s="18">
        <v>0</v>
      </c>
      <c r="Y74" s="58">
        <f t="shared" si="50"/>
        <v>39668.57</v>
      </c>
      <c r="Z74" s="18">
        <v>534692.5</v>
      </c>
      <c r="AA74" s="58">
        <f t="shared" si="51"/>
        <v>574361.07</v>
      </c>
      <c r="AB74" s="18">
        <v>0</v>
      </c>
      <c r="AC74" s="15">
        <f t="shared" si="52"/>
        <v>574361.07</v>
      </c>
      <c r="AD74" s="15">
        <f t="shared" si="53"/>
        <v>0</v>
      </c>
    </row>
    <row r="75" spans="1:30" ht="15">
      <c r="A75" s="29"/>
      <c r="B75" s="57">
        <v>2481</v>
      </c>
      <c r="C75" s="14" t="s">
        <v>125</v>
      </c>
      <c r="D75" s="18">
        <v>325511.5</v>
      </c>
      <c r="E75" s="18">
        <v>325511.5</v>
      </c>
      <c r="F75" s="18">
        <v>0</v>
      </c>
      <c r="G75" s="58">
        <f t="shared" si="41"/>
        <v>0</v>
      </c>
      <c r="H75" s="18">
        <v>0</v>
      </c>
      <c r="I75" s="58">
        <f t="shared" si="42"/>
        <v>0</v>
      </c>
      <c r="J75" s="18">
        <v>0</v>
      </c>
      <c r="K75" s="58">
        <f t="shared" si="43"/>
        <v>0</v>
      </c>
      <c r="L75" s="18">
        <v>22653.45</v>
      </c>
      <c r="M75" s="58">
        <f t="shared" si="44"/>
        <v>22653.45</v>
      </c>
      <c r="N75" s="18">
        <v>0</v>
      </c>
      <c r="O75" s="58">
        <f t="shared" si="45"/>
        <v>22653.45</v>
      </c>
      <c r="P75" s="18">
        <v>0</v>
      </c>
      <c r="Q75" s="58">
        <f t="shared" si="46"/>
        <v>22653.45</v>
      </c>
      <c r="R75" s="18">
        <v>0</v>
      </c>
      <c r="S75" s="58">
        <f t="shared" si="47"/>
        <v>22653.45</v>
      </c>
      <c r="T75" s="18">
        <v>0</v>
      </c>
      <c r="U75" s="58">
        <f t="shared" si="48"/>
        <v>22653.45</v>
      </c>
      <c r="V75" s="18">
        <v>0</v>
      </c>
      <c r="W75" s="58">
        <f t="shared" si="49"/>
        <v>22653.45</v>
      </c>
      <c r="X75" s="18">
        <v>0</v>
      </c>
      <c r="Y75" s="58">
        <f t="shared" si="50"/>
        <v>22653.45</v>
      </c>
      <c r="Z75" s="18">
        <v>302858.05</v>
      </c>
      <c r="AA75" s="58">
        <f t="shared" si="51"/>
        <v>325511.5</v>
      </c>
      <c r="AB75" s="18">
        <v>0</v>
      </c>
      <c r="AC75" s="15">
        <f t="shared" si="52"/>
        <v>325511.5</v>
      </c>
      <c r="AD75" s="15">
        <f t="shared" si="53"/>
        <v>0</v>
      </c>
    </row>
    <row r="76" spans="1:30" ht="15.75">
      <c r="A76" s="29"/>
      <c r="B76" s="57">
        <v>2491</v>
      </c>
      <c r="C76" s="14" t="s">
        <v>126</v>
      </c>
      <c r="D76" s="18">
        <v>587613.93</v>
      </c>
      <c r="E76" s="286">
        <f>587613.93+450.39+1071.48</f>
        <v>589135.8</v>
      </c>
      <c r="F76" s="18">
        <v>0</v>
      </c>
      <c r="G76" s="58">
        <f t="shared" si="41"/>
        <v>0</v>
      </c>
      <c r="H76" s="286">
        <f>0+450.39</f>
        <v>450.39</v>
      </c>
      <c r="I76" s="58">
        <f t="shared" si="42"/>
        <v>450.39</v>
      </c>
      <c r="J76" s="286">
        <f>0+1071.48</f>
        <v>1071.48</v>
      </c>
      <c r="K76" s="58">
        <f t="shared" si="43"/>
        <v>1521.87</v>
      </c>
      <c r="L76" s="18">
        <v>47134.92</v>
      </c>
      <c r="M76" s="58">
        <f t="shared" si="44"/>
        <v>48656.79</v>
      </c>
      <c r="N76" s="18">
        <v>0</v>
      </c>
      <c r="O76" s="58">
        <f t="shared" si="45"/>
        <v>48656.79</v>
      </c>
      <c r="P76" s="18">
        <v>0</v>
      </c>
      <c r="Q76" s="58">
        <f t="shared" si="46"/>
        <v>48656.79</v>
      </c>
      <c r="R76" s="18">
        <v>26208.87</v>
      </c>
      <c r="S76" s="58">
        <f t="shared" si="47"/>
        <v>74865.66</v>
      </c>
      <c r="T76" s="18">
        <v>0</v>
      </c>
      <c r="U76" s="58">
        <f t="shared" si="48"/>
        <v>74865.66</v>
      </c>
      <c r="V76" s="18">
        <v>0</v>
      </c>
      <c r="W76" s="58">
        <f t="shared" si="49"/>
        <v>74865.66</v>
      </c>
      <c r="X76" s="18">
        <v>0</v>
      </c>
      <c r="Y76" s="58">
        <f t="shared" si="50"/>
        <v>74865.66</v>
      </c>
      <c r="Z76" s="18">
        <v>514270.14</v>
      </c>
      <c r="AA76" s="58">
        <f t="shared" si="51"/>
        <v>589135.8</v>
      </c>
      <c r="AB76" s="18">
        <v>0</v>
      </c>
      <c r="AC76" s="15">
        <f t="shared" si="52"/>
        <v>589135.8</v>
      </c>
      <c r="AD76" s="15">
        <f t="shared" si="53"/>
        <v>0</v>
      </c>
    </row>
    <row r="77" spans="1:30" ht="15.75">
      <c r="A77" s="29"/>
      <c r="D77" s="19"/>
      <c r="E77" s="19"/>
      <c r="F77" s="19"/>
      <c r="G77" s="20"/>
      <c r="H77" s="19"/>
      <c r="I77" s="20"/>
      <c r="J77" s="19"/>
      <c r="K77" s="20"/>
      <c r="L77" s="19"/>
      <c r="M77" s="15"/>
      <c r="N77" s="19"/>
      <c r="O77" s="15"/>
      <c r="P77" s="19"/>
      <c r="Q77" s="15"/>
      <c r="R77" s="19"/>
      <c r="S77" s="15"/>
      <c r="T77" s="19"/>
      <c r="U77" s="15"/>
      <c r="V77" s="19"/>
      <c r="W77" s="15"/>
      <c r="X77" s="19"/>
      <c r="Y77" s="15"/>
      <c r="Z77" s="19"/>
      <c r="AA77" s="15"/>
      <c r="AB77" s="19"/>
      <c r="AC77" s="15"/>
      <c r="AD77" s="41"/>
    </row>
    <row r="78" spans="1:30" ht="15.75">
      <c r="A78" s="29"/>
      <c r="B78" s="69">
        <v>2500</v>
      </c>
      <c r="C78" s="67" t="s">
        <v>187</v>
      </c>
      <c r="D78" s="70">
        <f>SUM(D79:D84)</f>
        <v>120000</v>
      </c>
      <c r="E78" s="70">
        <f>SUM(E79:E84)</f>
        <v>116000</v>
      </c>
      <c r="F78" s="70">
        <f>SUM(F79:F84)</f>
        <v>40000</v>
      </c>
      <c r="G78" s="70">
        <f aca="true" t="shared" si="54" ref="G78:AC78">SUM(G79:G84)</f>
        <v>40000</v>
      </c>
      <c r="H78" s="70">
        <f>SUM(H79:H84)</f>
        <v>0</v>
      </c>
      <c r="I78" s="70">
        <f t="shared" si="54"/>
        <v>40000</v>
      </c>
      <c r="J78" s="70">
        <f>SUM(J79:J84)</f>
        <v>-4000</v>
      </c>
      <c r="K78" s="70">
        <f t="shared" si="54"/>
        <v>36000</v>
      </c>
      <c r="L78" s="70">
        <f>SUM(L79:L84)</f>
        <v>0</v>
      </c>
      <c r="M78" s="70">
        <f t="shared" si="54"/>
        <v>36000</v>
      </c>
      <c r="N78" s="70">
        <f>SUM(N79:N84)</f>
        <v>0</v>
      </c>
      <c r="O78" s="70">
        <f t="shared" si="54"/>
        <v>36000</v>
      </c>
      <c r="P78" s="70">
        <f>SUM(P79:P84)</f>
        <v>0</v>
      </c>
      <c r="Q78" s="70">
        <f t="shared" si="54"/>
        <v>36000</v>
      </c>
      <c r="R78" s="70">
        <f>SUM(R79:R84)</f>
        <v>0</v>
      </c>
      <c r="S78" s="70">
        <f t="shared" si="54"/>
        <v>36000</v>
      </c>
      <c r="T78" s="70">
        <f>SUM(T79:T84)</f>
        <v>0</v>
      </c>
      <c r="U78" s="70">
        <f t="shared" si="54"/>
        <v>36000</v>
      </c>
      <c r="V78" s="70">
        <f>SUM(V79:V84)</f>
        <v>0</v>
      </c>
      <c r="W78" s="70">
        <f t="shared" si="54"/>
        <v>36000</v>
      </c>
      <c r="X78" s="70">
        <f>SUM(X79:X84)</f>
        <v>0</v>
      </c>
      <c r="Y78" s="70">
        <f t="shared" si="54"/>
        <v>36000</v>
      </c>
      <c r="Z78" s="70">
        <f>SUM(Z79:Z84)</f>
        <v>80000</v>
      </c>
      <c r="AA78" s="70">
        <f t="shared" si="54"/>
        <v>116000</v>
      </c>
      <c r="AB78" s="70">
        <f>SUM(AB79:AB84)</f>
        <v>0</v>
      </c>
      <c r="AC78" s="70">
        <f t="shared" si="54"/>
        <v>116000</v>
      </c>
      <c r="AD78" s="70">
        <f>SUM(AD79:AD84)</f>
        <v>0</v>
      </c>
    </row>
    <row r="79" spans="1:30" ht="15">
      <c r="A79" s="29"/>
      <c r="B79" s="57">
        <v>2511</v>
      </c>
      <c r="C79" s="26" t="s">
        <v>205</v>
      </c>
      <c r="D79" s="18">
        <v>0</v>
      </c>
      <c r="E79" s="18">
        <v>0</v>
      </c>
      <c r="F79" s="18">
        <v>0</v>
      </c>
      <c r="G79" s="58">
        <f aca="true" t="shared" si="55" ref="G79:G84">+F79</f>
        <v>0</v>
      </c>
      <c r="H79" s="18">
        <v>0</v>
      </c>
      <c r="I79" s="58">
        <f aca="true" t="shared" si="56" ref="I79:I84">+G79+H79</f>
        <v>0</v>
      </c>
      <c r="J79" s="18">
        <v>0</v>
      </c>
      <c r="K79" s="58">
        <f aca="true" t="shared" si="57" ref="K79:K84">+I79+J79</f>
        <v>0</v>
      </c>
      <c r="L79" s="18">
        <v>0</v>
      </c>
      <c r="M79" s="58">
        <f aca="true" t="shared" si="58" ref="M79:M84">+K79+L79</f>
        <v>0</v>
      </c>
      <c r="N79" s="18">
        <v>0</v>
      </c>
      <c r="O79" s="58">
        <f aca="true" t="shared" si="59" ref="O79:O84">+M79+N79</f>
        <v>0</v>
      </c>
      <c r="P79" s="18">
        <v>0</v>
      </c>
      <c r="Q79" s="58">
        <f aca="true" t="shared" si="60" ref="Q79:Q84">+O79+P79</f>
        <v>0</v>
      </c>
      <c r="R79" s="18">
        <v>0</v>
      </c>
      <c r="S79" s="58">
        <f aca="true" t="shared" si="61" ref="S79:S84">+Q79+R79</f>
        <v>0</v>
      </c>
      <c r="T79" s="18">
        <v>0</v>
      </c>
      <c r="U79" s="58">
        <f aca="true" t="shared" si="62" ref="U79:U84">+S79+T79</f>
        <v>0</v>
      </c>
      <c r="V79" s="18">
        <v>0</v>
      </c>
      <c r="W79" s="58">
        <f aca="true" t="shared" si="63" ref="W79:W84">+U79+V79</f>
        <v>0</v>
      </c>
      <c r="X79" s="18">
        <v>0</v>
      </c>
      <c r="Y79" s="58">
        <f aca="true" t="shared" si="64" ref="Y79:Y84">+W79+X79</f>
        <v>0</v>
      </c>
      <c r="Z79" s="18">
        <v>0</v>
      </c>
      <c r="AA79" s="58">
        <f aca="true" t="shared" si="65" ref="AA79:AA84">+Y79+Z79</f>
        <v>0</v>
      </c>
      <c r="AB79" s="18">
        <v>0</v>
      </c>
      <c r="AC79" s="15">
        <f aca="true" t="shared" si="66" ref="AC79:AC84">+AA79+AB79</f>
        <v>0</v>
      </c>
      <c r="AD79" s="15">
        <f aca="true" t="shared" si="67" ref="AD79:AD84">+E79-AC79</f>
        <v>0</v>
      </c>
    </row>
    <row r="80" spans="1:30" ht="15">
      <c r="A80" s="29"/>
      <c r="B80" s="57">
        <v>2521</v>
      </c>
      <c r="C80" s="26" t="s">
        <v>203</v>
      </c>
      <c r="D80" s="18">
        <v>0</v>
      </c>
      <c r="E80" s="18">
        <v>0</v>
      </c>
      <c r="F80" s="18">
        <v>0</v>
      </c>
      <c r="G80" s="58">
        <f t="shared" si="55"/>
        <v>0</v>
      </c>
      <c r="H80" s="18">
        <v>0</v>
      </c>
      <c r="I80" s="58">
        <f t="shared" si="56"/>
        <v>0</v>
      </c>
      <c r="J80" s="18">
        <v>0</v>
      </c>
      <c r="K80" s="58">
        <f t="shared" si="57"/>
        <v>0</v>
      </c>
      <c r="L80" s="18">
        <v>0</v>
      </c>
      <c r="M80" s="58">
        <f t="shared" si="58"/>
        <v>0</v>
      </c>
      <c r="N80" s="18">
        <v>0</v>
      </c>
      <c r="O80" s="58">
        <f t="shared" si="59"/>
        <v>0</v>
      </c>
      <c r="P80" s="18">
        <v>0</v>
      </c>
      <c r="Q80" s="58">
        <f t="shared" si="60"/>
        <v>0</v>
      </c>
      <c r="R80" s="18">
        <v>0</v>
      </c>
      <c r="S80" s="58">
        <f t="shared" si="61"/>
        <v>0</v>
      </c>
      <c r="T80" s="18">
        <v>0</v>
      </c>
      <c r="U80" s="58">
        <f t="shared" si="62"/>
        <v>0</v>
      </c>
      <c r="V80" s="18">
        <v>0</v>
      </c>
      <c r="W80" s="58">
        <f t="shared" si="63"/>
        <v>0</v>
      </c>
      <c r="X80" s="18">
        <v>0</v>
      </c>
      <c r="Y80" s="58">
        <f t="shared" si="64"/>
        <v>0</v>
      </c>
      <c r="Z80" s="18">
        <v>0</v>
      </c>
      <c r="AA80" s="58">
        <f t="shared" si="65"/>
        <v>0</v>
      </c>
      <c r="AB80" s="18">
        <v>0</v>
      </c>
      <c r="AC80" s="15">
        <f t="shared" si="66"/>
        <v>0</v>
      </c>
      <c r="AD80" s="15">
        <f t="shared" si="67"/>
        <v>0</v>
      </c>
    </row>
    <row r="81" spans="1:30" ht="15.75">
      <c r="A81" s="29"/>
      <c r="B81" s="57">
        <v>2531</v>
      </c>
      <c r="C81" s="14" t="s">
        <v>48</v>
      </c>
      <c r="D81" s="18">
        <v>70000</v>
      </c>
      <c r="E81" s="286">
        <f>70000-4000</f>
        <v>66000</v>
      </c>
      <c r="F81" s="18">
        <v>20000</v>
      </c>
      <c r="G81" s="58">
        <f t="shared" si="55"/>
        <v>20000</v>
      </c>
      <c r="H81" s="18">
        <v>0</v>
      </c>
      <c r="I81" s="58">
        <f t="shared" si="56"/>
        <v>20000</v>
      </c>
      <c r="J81" s="286">
        <f>0-4000</f>
        <v>-4000</v>
      </c>
      <c r="K81" s="58">
        <f t="shared" si="57"/>
        <v>16000</v>
      </c>
      <c r="L81" s="18">
        <v>0</v>
      </c>
      <c r="M81" s="58">
        <f t="shared" si="58"/>
        <v>16000</v>
      </c>
      <c r="N81" s="18">
        <v>0</v>
      </c>
      <c r="O81" s="58">
        <f t="shared" si="59"/>
        <v>16000</v>
      </c>
      <c r="P81" s="18">
        <v>0</v>
      </c>
      <c r="Q81" s="58">
        <f t="shared" si="60"/>
        <v>16000</v>
      </c>
      <c r="R81" s="18">
        <v>0</v>
      </c>
      <c r="S81" s="58">
        <f t="shared" si="61"/>
        <v>16000</v>
      </c>
      <c r="T81" s="18">
        <v>0</v>
      </c>
      <c r="U81" s="58">
        <f t="shared" si="62"/>
        <v>16000</v>
      </c>
      <c r="V81" s="18">
        <v>0</v>
      </c>
      <c r="W81" s="58">
        <f t="shared" si="63"/>
        <v>16000</v>
      </c>
      <c r="X81" s="18">
        <v>0</v>
      </c>
      <c r="Y81" s="58">
        <f t="shared" si="64"/>
        <v>16000</v>
      </c>
      <c r="Z81" s="18">
        <v>50000</v>
      </c>
      <c r="AA81" s="58">
        <f t="shared" si="65"/>
        <v>66000</v>
      </c>
      <c r="AB81" s="18">
        <v>0</v>
      </c>
      <c r="AC81" s="15">
        <f t="shared" si="66"/>
        <v>66000</v>
      </c>
      <c r="AD81" s="15">
        <f t="shared" si="67"/>
        <v>0</v>
      </c>
    </row>
    <row r="82" spans="1:30" ht="15">
      <c r="A82" s="29"/>
      <c r="B82" s="57">
        <v>2541</v>
      </c>
      <c r="C82" s="14" t="s">
        <v>49</v>
      </c>
      <c r="D82" s="18">
        <v>50000</v>
      </c>
      <c r="E82" s="18">
        <v>50000</v>
      </c>
      <c r="F82" s="18">
        <v>20000</v>
      </c>
      <c r="G82" s="58">
        <f t="shared" si="55"/>
        <v>20000</v>
      </c>
      <c r="H82" s="18">
        <v>0</v>
      </c>
      <c r="I82" s="58">
        <f t="shared" si="56"/>
        <v>20000</v>
      </c>
      <c r="J82" s="18">
        <v>0</v>
      </c>
      <c r="K82" s="58">
        <f t="shared" si="57"/>
        <v>20000</v>
      </c>
      <c r="L82" s="18">
        <v>0</v>
      </c>
      <c r="M82" s="58">
        <f t="shared" si="58"/>
        <v>20000</v>
      </c>
      <c r="N82" s="18">
        <v>0</v>
      </c>
      <c r="O82" s="58">
        <f t="shared" si="59"/>
        <v>20000</v>
      </c>
      <c r="P82" s="18">
        <v>0</v>
      </c>
      <c r="Q82" s="58">
        <f t="shared" si="60"/>
        <v>20000</v>
      </c>
      <c r="R82" s="18">
        <v>0</v>
      </c>
      <c r="S82" s="58">
        <f t="shared" si="61"/>
        <v>20000</v>
      </c>
      <c r="T82" s="18">
        <v>0</v>
      </c>
      <c r="U82" s="58">
        <f t="shared" si="62"/>
        <v>20000</v>
      </c>
      <c r="V82" s="18">
        <v>0</v>
      </c>
      <c r="W82" s="58">
        <f t="shared" si="63"/>
        <v>20000</v>
      </c>
      <c r="X82" s="18">
        <v>0</v>
      </c>
      <c r="Y82" s="58">
        <f t="shared" si="64"/>
        <v>20000</v>
      </c>
      <c r="Z82" s="18">
        <v>30000</v>
      </c>
      <c r="AA82" s="58">
        <f t="shared" si="65"/>
        <v>50000</v>
      </c>
      <c r="AB82" s="18">
        <v>0</v>
      </c>
      <c r="AC82" s="15">
        <f t="shared" si="66"/>
        <v>50000</v>
      </c>
      <c r="AD82" s="15">
        <f t="shared" si="67"/>
        <v>0</v>
      </c>
    </row>
    <row r="83" spans="1:30" ht="15">
      <c r="A83" s="29"/>
      <c r="B83" s="57">
        <v>2551</v>
      </c>
      <c r="C83" s="14" t="s">
        <v>9</v>
      </c>
      <c r="D83" s="18">
        <v>0</v>
      </c>
      <c r="E83" s="18">
        <v>0</v>
      </c>
      <c r="F83" s="18">
        <v>0</v>
      </c>
      <c r="G83" s="58">
        <f t="shared" si="55"/>
        <v>0</v>
      </c>
      <c r="H83" s="18">
        <v>0</v>
      </c>
      <c r="I83" s="58">
        <f t="shared" si="56"/>
        <v>0</v>
      </c>
      <c r="J83" s="18">
        <v>0</v>
      </c>
      <c r="K83" s="58">
        <f t="shared" si="57"/>
        <v>0</v>
      </c>
      <c r="L83" s="18">
        <v>0</v>
      </c>
      <c r="M83" s="58">
        <f t="shared" si="58"/>
        <v>0</v>
      </c>
      <c r="N83" s="18">
        <v>0</v>
      </c>
      <c r="O83" s="58">
        <f t="shared" si="59"/>
        <v>0</v>
      </c>
      <c r="P83" s="18">
        <v>0</v>
      </c>
      <c r="Q83" s="58">
        <f t="shared" si="60"/>
        <v>0</v>
      </c>
      <c r="R83" s="18">
        <v>0</v>
      </c>
      <c r="S83" s="58">
        <f t="shared" si="61"/>
        <v>0</v>
      </c>
      <c r="T83" s="18">
        <v>0</v>
      </c>
      <c r="U83" s="58">
        <f t="shared" si="62"/>
        <v>0</v>
      </c>
      <c r="V83" s="18">
        <v>0</v>
      </c>
      <c r="W83" s="58">
        <f t="shared" si="63"/>
        <v>0</v>
      </c>
      <c r="X83" s="18">
        <v>0</v>
      </c>
      <c r="Y83" s="58">
        <f t="shared" si="64"/>
        <v>0</v>
      </c>
      <c r="Z83" s="18">
        <v>0</v>
      </c>
      <c r="AA83" s="58">
        <f t="shared" si="65"/>
        <v>0</v>
      </c>
      <c r="AB83" s="18">
        <v>0</v>
      </c>
      <c r="AC83" s="15">
        <f t="shared" si="66"/>
        <v>0</v>
      </c>
      <c r="AD83" s="15">
        <f t="shared" si="67"/>
        <v>0</v>
      </c>
    </row>
    <row r="84" spans="1:30" ht="15">
      <c r="A84" s="29"/>
      <c r="B84" s="57">
        <v>2561</v>
      </c>
      <c r="C84" s="14" t="s">
        <v>206</v>
      </c>
      <c r="D84" s="18">
        <v>0</v>
      </c>
      <c r="E84" s="18">
        <v>0</v>
      </c>
      <c r="F84" s="18">
        <v>0</v>
      </c>
      <c r="G84" s="58">
        <f t="shared" si="55"/>
        <v>0</v>
      </c>
      <c r="H84" s="18">
        <v>0</v>
      </c>
      <c r="I84" s="58">
        <f t="shared" si="56"/>
        <v>0</v>
      </c>
      <c r="J84" s="18">
        <v>0</v>
      </c>
      <c r="K84" s="58">
        <f t="shared" si="57"/>
        <v>0</v>
      </c>
      <c r="L84" s="18">
        <v>0</v>
      </c>
      <c r="M84" s="58">
        <f t="shared" si="58"/>
        <v>0</v>
      </c>
      <c r="N84" s="18">
        <v>0</v>
      </c>
      <c r="O84" s="58">
        <f t="shared" si="59"/>
        <v>0</v>
      </c>
      <c r="P84" s="18">
        <v>0</v>
      </c>
      <c r="Q84" s="58">
        <f t="shared" si="60"/>
        <v>0</v>
      </c>
      <c r="R84" s="18">
        <v>0</v>
      </c>
      <c r="S84" s="58">
        <f t="shared" si="61"/>
        <v>0</v>
      </c>
      <c r="T84" s="18">
        <v>0</v>
      </c>
      <c r="U84" s="58">
        <f t="shared" si="62"/>
        <v>0</v>
      </c>
      <c r="V84" s="18">
        <v>0</v>
      </c>
      <c r="W84" s="58">
        <f t="shared" si="63"/>
        <v>0</v>
      </c>
      <c r="X84" s="18">
        <v>0</v>
      </c>
      <c r="Y84" s="58">
        <f t="shared" si="64"/>
        <v>0</v>
      </c>
      <c r="Z84" s="18">
        <v>0</v>
      </c>
      <c r="AA84" s="58">
        <f t="shared" si="65"/>
        <v>0</v>
      </c>
      <c r="AB84" s="18">
        <v>0</v>
      </c>
      <c r="AC84" s="15">
        <f t="shared" si="66"/>
        <v>0</v>
      </c>
      <c r="AD84" s="15">
        <f t="shared" si="67"/>
        <v>0</v>
      </c>
    </row>
    <row r="85" spans="1:30" ht="15">
      <c r="A85" s="29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41"/>
    </row>
    <row r="86" spans="1:30" ht="15.75">
      <c r="A86" s="29"/>
      <c r="B86" s="69">
        <v>2600</v>
      </c>
      <c r="C86" s="67" t="s">
        <v>17</v>
      </c>
      <c r="D86" s="70">
        <f aca="true" t="shared" si="68" ref="D86:AD86">SUM(D87:D87)</f>
        <v>300000</v>
      </c>
      <c r="E86" s="70">
        <f t="shared" si="68"/>
        <v>300000</v>
      </c>
      <c r="F86" s="70">
        <f t="shared" si="68"/>
        <v>240000.6</v>
      </c>
      <c r="G86" s="70">
        <f t="shared" si="68"/>
        <v>240000.6</v>
      </c>
      <c r="H86" s="70">
        <f t="shared" si="68"/>
        <v>0</v>
      </c>
      <c r="I86" s="70">
        <f t="shared" si="68"/>
        <v>240000.6</v>
      </c>
      <c r="J86" s="70">
        <f t="shared" si="68"/>
        <v>0</v>
      </c>
      <c r="K86" s="70">
        <f t="shared" si="68"/>
        <v>240000.6</v>
      </c>
      <c r="L86" s="70">
        <f t="shared" si="68"/>
        <v>0</v>
      </c>
      <c r="M86" s="70">
        <f t="shared" si="68"/>
        <v>240000.6</v>
      </c>
      <c r="N86" s="70">
        <f t="shared" si="68"/>
        <v>0</v>
      </c>
      <c r="O86" s="70">
        <f t="shared" si="68"/>
        <v>240000.6</v>
      </c>
      <c r="P86" s="70">
        <f t="shared" si="68"/>
        <v>0</v>
      </c>
      <c r="Q86" s="70">
        <f t="shared" si="68"/>
        <v>240000.6</v>
      </c>
      <c r="R86" s="70">
        <f t="shared" si="68"/>
        <v>0</v>
      </c>
      <c r="S86" s="70">
        <f t="shared" si="68"/>
        <v>240000.6</v>
      </c>
      <c r="T86" s="70">
        <f t="shared" si="68"/>
        <v>0</v>
      </c>
      <c r="U86" s="70">
        <f t="shared" si="68"/>
        <v>240000.6</v>
      </c>
      <c r="V86" s="70">
        <f t="shared" si="68"/>
        <v>0</v>
      </c>
      <c r="W86" s="70">
        <f t="shared" si="68"/>
        <v>240000.6</v>
      </c>
      <c r="X86" s="70">
        <f t="shared" si="68"/>
        <v>0</v>
      </c>
      <c r="Y86" s="70">
        <f t="shared" si="68"/>
        <v>240000.6</v>
      </c>
      <c r="Z86" s="70">
        <f t="shared" si="68"/>
        <v>59999.4</v>
      </c>
      <c r="AA86" s="70">
        <f t="shared" si="68"/>
        <v>300000</v>
      </c>
      <c r="AB86" s="70">
        <f t="shared" si="68"/>
        <v>0</v>
      </c>
      <c r="AC86" s="70">
        <f t="shared" si="68"/>
        <v>300000</v>
      </c>
      <c r="AD86" s="70">
        <f t="shared" si="68"/>
        <v>0</v>
      </c>
    </row>
    <row r="87" spans="1:30" ht="15">
      <c r="A87" s="29"/>
      <c r="B87" s="78">
        <v>2611</v>
      </c>
      <c r="C87" s="8" t="s">
        <v>127</v>
      </c>
      <c r="D87" s="18">
        <v>300000</v>
      </c>
      <c r="E87" s="18">
        <v>300000</v>
      </c>
      <c r="F87" s="18">
        <v>240000.6</v>
      </c>
      <c r="G87" s="58">
        <f>+F87</f>
        <v>240000.6</v>
      </c>
      <c r="H87" s="18">
        <v>0</v>
      </c>
      <c r="I87" s="58">
        <f>+G87+H87</f>
        <v>240000.6</v>
      </c>
      <c r="J87" s="18">
        <v>0</v>
      </c>
      <c r="K87" s="58">
        <f>+I87+J87</f>
        <v>240000.6</v>
      </c>
      <c r="L87" s="18">
        <v>0</v>
      </c>
      <c r="M87" s="58">
        <f>+K87+L87</f>
        <v>240000.6</v>
      </c>
      <c r="N87" s="18">
        <v>0</v>
      </c>
      <c r="O87" s="58">
        <f>+M87+N87</f>
        <v>240000.6</v>
      </c>
      <c r="P87" s="18">
        <v>0</v>
      </c>
      <c r="Q87" s="58">
        <f>+O87+P87</f>
        <v>240000.6</v>
      </c>
      <c r="R87" s="18">
        <v>0</v>
      </c>
      <c r="S87" s="58">
        <f>+Q87+R87</f>
        <v>240000.6</v>
      </c>
      <c r="T87" s="18">
        <v>0</v>
      </c>
      <c r="U87" s="58">
        <f>+S87+T87</f>
        <v>240000.6</v>
      </c>
      <c r="V87" s="18">
        <v>0</v>
      </c>
      <c r="W87" s="58">
        <f>+U87+V87</f>
        <v>240000.6</v>
      </c>
      <c r="X87" s="18">
        <v>0</v>
      </c>
      <c r="Y87" s="58">
        <f>+W87+X87</f>
        <v>240000.6</v>
      </c>
      <c r="Z87" s="18">
        <v>59999.4</v>
      </c>
      <c r="AA87" s="58">
        <f>+Y87+Z87</f>
        <v>300000</v>
      </c>
      <c r="AB87" s="18">
        <v>0</v>
      </c>
      <c r="AC87" s="15">
        <f>+AA87+AB87</f>
        <v>300000</v>
      </c>
      <c r="AD87" s="15">
        <f>+E87-AC87</f>
        <v>0</v>
      </c>
    </row>
    <row r="88" spans="1:30" ht="15.75">
      <c r="A88" s="29"/>
      <c r="D88" s="15"/>
      <c r="E88" s="15"/>
      <c r="F88" s="15"/>
      <c r="G88" s="15"/>
      <c r="H88" s="15"/>
      <c r="I88" s="21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41"/>
    </row>
    <row r="89" spans="1:30" ht="15.75">
      <c r="A89" s="29"/>
      <c r="B89" s="69">
        <v>2700</v>
      </c>
      <c r="C89" s="67" t="s">
        <v>16</v>
      </c>
      <c r="D89" s="70">
        <f>SUM(D90:D92)</f>
        <v>54047.76</v>
      </c>
      <c r="E89" s="70">
        <f>SUM(E90:E92)</f>
        <v>54047.76</v>
      </c>
      <c r="F89" s="70">
        <f>SUM(F90:F92)</f>
        <v>0</v>
      </c>
      <c r="G89" s="70">
        <f aca="true" t="shared" si="69" ref="G89:AC89">SUM(G90:G92)</f>
        <v>0</v>
      </c>
      <c r="H89" s="70">
        <f>SUM(H90:H92)</f>
        <v>0</v>
      </c>
      <c r="I89" s="70">
        <f t="shared" si="69"/>
        <v>0</v>
      </c>
      <c r="J89" s="70">
        <f>SUM(J90:J92)</f>
        <v>0</v>
      </c>
      <c r="K89" s="70">
        <f t="shared" si="69"/>
        <v>0</v>
      </c>
      <c r="L89" s="70">
        <f>SUM(L90:L92)</f>
        <v>22922.260000000002</v>
      </c>
      <c r="M89" s="70">
        <f t="shared" si="69"/>
        <v>22922.260000000002</v>
      </c>
      <c r="N89" s="70">
        <f>SUM(N90:N92)</f>
        <v>0</v>
      </c>
      <c r="O89" s="70">
        <f t="shared" si="69"/>
        <v>22922.260000000002</v>
      </c>
      <c r="P89" s="70">
        <f>SUM(P90:P92)</f>
        <v>0</v>
      </c>
      <c r="Q89" s="70">
        <f t="shared" si="69"/>
        <v>22922.260000000002</v>
      </c>
      <c r="R89" s="70">
        <f>SUM(R90:R92)</f>
        <v>5062.5</v>
      </c>
      <c r="S89" s="70">
        <f t="shared" si="69"/>
        <v>27984.760000000002</v>
      </c>
      <c r="T89" s="70">
        <f>SUM(T90:T92)</f>
        <v>0</v>
      </c>
      <c r="U89" s="70">
        <f t="shared" si="69"/>
        <v>27984.760000000002</v>
      </c>
      <c r="V89" s="70">
        <f>SUM(V90:V92)</f>
        <v>0</v>
      </c>
      <c r="W89" s="70">
        <f t="shared" si="69"/>
        <v>27984.760000000002</v>
      </c>
      <c r="X89" s="70">
        <f>SUM(X90:X92)</f>
        <v>0</v>
      </c>
      <c r="Y89" s="70">
        <f t="shared" si="69"/>
        <v>27984.760000000002</v>
      </c>
      <c r="Z89" s="70">
        <f>SUM(Z90:Z92)</f>
        <v>26063</v>
      </c>
      <c r="AA89" s="70">
        <f t="shared" si="69"/>
        <v>54047.76</v>
      </c>
      <c r="AB89" s="70">
        <f>SUM(AB90:AB92)</f>
        <v>0</v>
      </c>
      <c r="AC89" s="70">
        <f t="shared" si="69"/>
        <v>54047.76</v>
      </c>
      <c r="AD89" s="70">
        <f>SUM(AD90:AD92)</f>
        <v>0</v>
      </c>
    </row>
    <row r="90" spans="1:31" ht="15">
      <c r="A90" s="29"/>
      <c r="B90" s="57">
        <v>2711</v>
      </c>
      <c r="C90" s="14" t="s">
        <v>128</v>
      </c>
      <c r="D90" s="18">
        <v>0</v>
      </c>
      <c r="E90" s="18">
        <v>0</v>
      </c>
      <c r="F90" s="18">
        <v>0</v>
      </c>
      <c r="G90" s="58">
        <f>+F90</f>
        <v>0</v>
      </c>
      <c r="H90" s="18">
        <v>0</v>
      </c>
      <c r="I90" s="58">
        <f>+G90+H90</f>
        <v>0</v>
      </c>
      <c r="J90" s="18">
        <v>0</v>
      </c>
      <c r="K90" s="58">
        <f>+I90+J90</f>
        <v>0</v>
      </c>
      <c r="L90" s="18">
        <v>0</v>
      </c>
      <c r="M90" s="58">
        <f>+K90+L90</f>
        <v>0</v>
      </c>
      <c r="N90" s="18">
        <v>0</v>
      </c>
      <c r="O90" s="58">
        <f>+M90+N90</f>
        <v>0</v>
      </c>
      <c r="P90" s="18">
        <v>0</v>
      </c>
      <c r="Q90" s="58">
        <f>+O90+P90</f>
        <v>0</v>
      </c>
      <c r="R90" s="18">
        <v>0</v>
      </c>
      <c r="S90" s="58">
        <f>+Q90+R90</f>
        <v>0</v>
      </c>
      <c r="T90" s="18">
        <v>0</v>
      </c>
      <c r="U90" s="58">
        <f>+S90+T90</f>
        <v>0</v>
      </c>
      <c r="V90" s="18">
        <v>0</v>
      </c>
      <c r="W90" s="58">
        <f>+U90+V90</f>
        <v>0</v>
      </c>
      <c r="X90" s="18">
        <v>0</v>
      </c>
      <c r="Y90" s="58">
        <f>+W90+X90</f>
        <v>0</v>
      </c>
      <c r="Z90" s="18">
        <v>0</v>
      </c>
      <c r="AA90" s="58">
        <f>+Y90+Z90</f>
        <v>0</v>
      </c>
      <c r="AB90" s="18">
        <v>0</v>
      </c>
      <c r="AC90" s="15">
        <f>+AA90+AB90</f>
        <v>0</v>
      </c>
      <c r="AD90" s="15">
        <f>+E90-AC90</f>
        <v>0</v>
      </c>
      <c r="AE90" s="15"/>
    </row>
    <row r="91" spans="1:31" ht="15">
      <c r="A91" s="29"/>
      <c r="B91" s="8">
        <v>2721</v>
      </c>
      <c r="C91" s="8" t="s">
        <v>129</v>
      </c>
      <c r="D91" s="18">
        <v>54047.76</v>
      </c>
      <c r="E91" s="18">
        <v>54047.76</v>
      </c>
      <c r="F91" s="18">
        <v>0</v>
      </c>
      <c r="G91" s="58">
        <f>+F91</f>
        <v>0</v>
      </c>
      <c r="H91" s="18">
        <v>0</v>
      </c>
      <c r="I91" s="58">
        <f>+G91+H91</f>
        <v>0</v>
      </c>
      <c r="J91" s="18">
        <v>0</v>
      </c>
      <c r="K91" s="58">
        <f>+I91+J91</f>
        <v>0</v>
      </c>
      <c r="L91" s="18">
        <v>22922.260000000002</v>
      </c>
      <c r="M91" s="58">
        <f>+K91+L91</f>
        <v>22922.260000000002</v>
      </c>
      <c r="N91" s="18">
        <v>0</v>
      </c>
      <c r="O91" s="58">
        <f>+M91+N91</f>
        <v>22922.260000000002</v>
      </c>
      <c r="P91" s="18">
        <v>0</v>
      </c>
      <c r="Q91" s="58">
        <f>+O91+P91</f>
        <v>22922.260000000002</v>
      </c>
      <c r="R91" s="18">
        <v>5062.5</v>
      </c>
      <c r="S91" s="58">
        <f>+Q91+R91</f>
        <v>27984.760000000002</v>
      </c>
      <c r="T91" s="18">
        <v>0</v>
      </c>
      <c r="U91" s="58">
        <f>+S91+T91</f>
        <v>27984.760000000002</v>
      </c>
      <c r="V91" s="18">
        <v>0</v>
      </c>
      <c r="W91" s="58">
        <f>+U91+V91</f>
        <v>27984.760000000002</v>
      </c>
      <c r="X91" s="18">
        <v>0</v>
      </c>
      <c r="Y91" s="58">
        <f>+W91+X91</f>
        <v>27984.760000000002</v>
      </c>
      <c r="Z91" s="18">
        <v>26063</v>
      </c>
      <c r="AA91" s="58">
        <f>+Y91+Z91</f>
        <v>54047.76</v>
      </c>
      <c r="AB91" s="18">
        <v>0</v>
      </c>
      <c r="AC91" s="15">
        <f>+AA91+AB91</f>
        <v>54047.76</v>
      </c>
      <c r="AD91" s="15">
        <f>+E91-AC91</f>
        <v>0</v>
      </c>
      <c r="AE91" s="15"/>
    </row>
    <row r="92" spans="1:31" ht="15">
      <c r="A92" s="29"/>
      <c r="B92" s="8">
        <v>2741</v>
      </c>
      <c r="C92" s="8" t="s">
        <v>276</v>
      </c>
      <c r="D92" s="18">
        <v>0</v>
      </c>
      <c r="E92" s="18">
        <v>0</v>
      </c>
      <c r="F92" s="18">
        <v>0</v>
      </c>
      <c r="G92" s="58">
        <f>+F92</f>
        <v>0</v>
      </c>
      <c r="H92" s="18">
        <v>0</v>
      </c>
      <c r="I92" s="58">
        <f>+G92+H92</f>
        <v>0</v>
      </c>
      <c r="J92" s="18">
        <v>0</v>
      </c>
      <c r="K92" s="58">
        <f>+I92+J92</f>
        <v>0</v>
      </c>
      <c r="L92" s="18">
        <v>0</v>
      </c>
      <c r="M92" s="58">
        <f>+K92+L92</f>
        <v>0</v>
      </c>
      <c r="N92" s="18">
        <v>0</v>
      </c>
      <c r="O92" s="58">
        <f>+M92+N92</f>
        <v>0</v>
      </c>
      <c r="P92" s="18">
        <v>0</v>
      </c>
      <c r="Q92" s="58">
        <f>+O92+P92</f>
        <v>0</v>
      </c>
      <c r="R92" s="18">
        <v>0</v>
      </c>
      <c r="S92" s="58">
        <f>+Q92+R92</f>
        <v>0</v>
      </c>
      <c r="T92" s="18">
        <v>0</v>
      </c>
      <c r="U92" s="58">
        <f>+S92+T92</f>
        <v>0</v>
      </c>
      <c r="V92" s="18">
        <v>0</v>
      </c>
      <c r="W92" s="58">
        <f>+U92+V92</f>
        <v>0</v>
      </c>
      <c r="X92" s="18">
        <v>0</v>
      </c>
      <c r="Y92" s="58">
        <f>+W92+X92</f>
        <v>0</v>
      </c>
      <c r="Z92" s="18">
        <v>0</v>
      </c>
      <c r="AA92" s="58">
        <f>+Y92+Z92</f>
        <v>0</v>
      </c>
      <c r="AB92" s="18">
        <v>0</v>
      </c>
      <c r="AC92" s="15">
        <f>+AA92+AB92</f>
        <v>0</v>
      </c>
      <c r="AD92" s="15">
        <f>+E92-AC92</f>
        <v>0</v>
      </c>
      <c r="AE92" s="15"/>
    </row>
    <row r="93" spans="1:29" ht="15">
      <c r="A93" s="29"/>
      <c r="D93" s="18"/>
      <c r="E93" s="18"/>
      <c r="F93" s="18"/>
      <c r="G93" s="59"/>
      <c r="H93" s="18"/>
      <c r="I93" s="15"/>
      <c r="J93" s="18"/>
      <c r="K93" s="15"/>
      <c r="L93" s="18"/>
      <c r="M93" s="15"/>
      <c r="N93" s="18"/>
      <c r="O93" s="15"/>
      <c r="P93" s="18"/>
      <c r="Q93" s="15"/>
      <c r="R93" s="18"/>
      <c r="S93" s="15"/>
      <c r="T93" s="18"/>
      <c r="U93" s="15"/>
      <c r="V93" s="18"/>
      <c r="W93" s="15"/>
      <c r="X93" s="18"/>
      <c r="Y93" s="15"/>
      <c r="Z93" s="18"/>
      <c r="AA93" s="15"/>
      <c r="AB93" s="18"/>
      <c r="AC93" s="15"/>
    </row>
    <row r="94" spans="1:30" ht="15.75">
      <c r="A94" s="29"/>
      <c r="B94" s="16">
        <v>2900</v>
      </c>
      <c r="C94" s="77" t="s">
        <v>188</v>
      </c>
      <c r="D94" s="70">
        <f>SUM(D95:D99)</f>
        <v>258638.8</v>
      </c>
      <c r="E94" s="70">
        <f>SUM(E95:E99)</f>
        <v>259068.81</v>
      </c>
      <c r="F94" s="70">
        <f>SUM(F95:F99)</f>
        <v>0</v>
      </c>
      <c r="G94" s="70">
        <f aca="true" t="shared" si="70" ref="G94:AC94">SUM(G95:G99)</f>
        <v>0</v>
      </c>
      <c r="H94" s="70">
        <f>SUM(H95:H99)</f>
        <v>278.01</v>
      </c>
      <c r="I94" s="70">
        <f t="shared" si="70"/>
        <v>278.01</v>
      </c>
      <c r="J94" s="70">
        <f>SUM(J95:J99)</f>
        <v>116152</v>
      </c>
      <c r="K94" s="70">
        <f t="shared" si="70"/>
        <v>116430.01</v>
      </c>
      <c r="L94" s="70">
        <f>SUM(L95:L99)</f>
        <v>57979.6</v>
      </c>
      <c r="M94" s="70">
        <f t="shared" si="70"/>
        <v>174409.61</v>
      </c>
      <c r="N94" s="70">
        <f>SUM(N95:N99)</f>
        <v>0</v>
      </c>
      <c r="O94" s="70">
        <f t="shared" si="70"/>
        <v>174409.61</v>
      </c>
      <c r="P94" s="70">
        <f>SUM(P95:P99)</f>
        <v>0</v>
      </c>
      <c r="Q94" s="70">
        <f t="shared" si="70"/>
        <v>174409.61</v>
      </c>
      <c r="R94" s="70">
        <f>SUM(R95:R99)</f>
        <v>1578</v>
      </c>
      <c r="S94" s="70">
        <f t="shared" si="70"/>
        <v>175987.61</v>
      </c>
      <c r="T94" s="70">
        <f>SUM(T95:T99)</f>
        <v>0</v>
      </c>
      <c r="U94" s="70">
        <f t="shared" si="70"/>
        <v>175987.61</v>
      </c>
      <c r="V94" s="70">
        <f>SUM(V95:V99)</f>
        <v>0</v>
      </c>
      <c r="W94" s="70">
        <f t="shared" si="70"/>
        <v>175987.61</v>
      </c>
      <c r="X94" s="70">
        <f>SUM(X95:X99)</f>
        <v>0</v>
      </c>
      <c r="Y94" s="70">
        <f t="shared" si="70"/>
        <v>175987.61</v>
      </c>
      <c r="Z94" s="70">
        <f>SUM(Z95:Z99)</f>
        <v>83081.2</v>
      </c>
      <c r="AA94" s="70">
        <f t="shared" si="70"/>
        <v>259068.81</v>
      </c>
      <c r="AB94" s="70">
        <f>SUM(AB95:AB99)</f>
        <v>0</v>
      </c>
      <c r="AC94" s="70">
        <f t="shared" si="70"/>
        <v>259068.81</v>
      </c>
      <c r="AD94" s="70">
        <f>SUM(AD95:AD99)</f>
        <v>0</v>
      </c>
    </row>
    <row r="95" spans="1:30" ht="15.75">
      <c r="A95" s="29"/>
      <c r="B95" s="8">
        <v>2911</v>
      </c>
      <c r="C95" s="40" t="s">
        <v>131</v>
      </c>
      <c r="D95" s="18">
        <v>105032</v>
      </c>
      <c r="E95" s="286">
        <f>105032+152</f>
        <v>105184</v>
      </c>
      <c r="F95" s="18">
        <v>0</v>
      </c>
      <c r="G95" s="58">
        <f>+F95</f>
        <v>0</v>
      </c>
      <c r="H95" s="18">
        <v>0</v>
      </c>
      <c r="I95" s="58">
        <f>+G95+H95</f>
        <v>0</v>
      </c>
      <c r="J95" s="286">
        <f>0+152</f>
        <v>152</v>
      </c>
      <c r="K95" s="58">
        <f>+I95+J95</f>
        <v>152</v>
      </c>
      <c r="L95" s="18">
        <v>45444</v>
      </c>
      <c r="M95" s="58">
        <f>+K95+L95</f>
        <v>45596</v>
      </c>
      <c r="N95" s="18">
        <v>0</v>
      </c>
      <c r="O95" s="58">
        <f>+M95+N95</f>
        <v>45596</v>
      </c>
      <c r="P95" s="18">
        <v>0</v>
      </c>
      <c r="Q95" s="58">
        <f>+O95+P95</f>
        <v>45596</v>
      </c>
      <c r="R95" s="18">
        <v>1578</v>
      </c>
      <c r="S95" s="58">
        <f>+Q95+R95</f>
        <v>47174</v>
      </c>
      <c r="T95" s="18">
        <v>0</v>
      </c>
      <c r="U95" s="58">
        <f>+S95+T95</f>
        <v>47174</v>
      </c>
      <c r="V95" s="18">
        <v>0</v>
      </c>
      <c r="W95" s="58">
        <f>+U95+V95</f>
        <v>47174</v>
      </c>
      <c r="X95" s="18">
        <v>0</v>
      </c>
      <c r="Y95" s="58">
        <f>+W95+X95</f>
        <v>47174</v>
      </c>
      <c r="Z95" s="18">
        <v>58010</v>
      </c>
      <c r="AA95" s="58">
        <f>+Y95+Z95</f>
        <v>105184</v>
      </c>
      <c r="AB95" s="18">
        <v>0</v>
      </c>
      <c r="AC95" s="15">
        <f>+AA95+AB95</f>
        <v>105184</v>
      </c>
      <c r="AD95" s="15">
        <f>+E95-AC95</f>
        <v>0</v>
      </c>
    </row>
    <row r="96" spans="1:30" ht="15.75">
      <c r="A96" s="29"/>
      <c r="B96" s="8">
        <v>2921</v>
      </c>
      <c r="C96" s="40" t="s">
        <v>132</v>
      </c>
      <c r="D96" s="18">
        <v>37606.8</v>
      </c>
      <c r="E96" s="286">
        <f>37606.8+278.01</f>
        <v>37884.810000000005</v>
      </c>
      <c r="F96" s="18">
        <v>0</v>
      </c>
      <c r="G96" s="58">
        <f>+F96</f>
        <v>0</v>
      </c>
      <c r="H96" s="286">
        <f>0+278.01</f>
        <v>278.01</v>
      </c>
      <c r="I96" s="58">
        <f>+G96+H96</f>
        <v>278.01</v>
      </c>
      <c r="J96" s="18">
        <v>0</v>
      </c>
      <c r="K96" s="58">
        <f>+I96+J96</f>
        <v>278.01</v>
      </c>
      <c r="L96" s="18">
        <v>12535.6</v>
      </c>
      <c r="M96" s="58">
        <f>+K96+L96</f>
        <v>12813.61</v>
      </c>
      <c r="N96" s="18">
        <v>0</v>
      </c>
      <c r="O96" s="58">
        <f>+M96+N96</f>
        <v>12813.61</v>
      </c>
      <c r="P96" s="18">
        <v>0</v>
      </c>
      <c r="Q96" s="58">
        <f>+O96+P96</f>
        <v>12813.61</v>
      </c>
      <c r="R96" s="18">
        <v>0</v>
      </c>
      <c r="S96" s="58">
        <f>+Q96+R96</f>
        <v>12813.61</v>
      </c>
      <c r="T96" s="18">
        <v>0</v>
      </c>
      <c r="U96" s="58">
        <f>+S96+T96</f>
        <v>12813.61</v>
      </c>
      <c r="V96" s="18">
        <v>0</v>
      </c>
      <c r="W96" s="58">
        <f>+U96+V96</f>
        <v>12813.61</v>
      </c>
      <c r="X96" s="18">
        <v>0</v>
      </c>
      <c r="Y96" s="58">
        <f>+W96+X96</f>
        <v>12813.61</v>
      </c>
      <c r="Z96" s="18">
        <v>25071.2</v>
      </c>
      <c r="AA96" s="58">
        <f>+Y96+Z96</f>
        <v>37884.81</v>
      </c>
      <c r="AB96" s="18">
        <v>0</v>
      </c>
      <c r="AC96" s="15">
        <f>+AA96+AB96</f>
        <v>37884.81</v>
      </c>
      <c r="AD96" s="15">
        <f>+E96-AC96</f>
        <v>0</v>
      </c>
    </row>
    <row r="97" spans="1:30" ht="15">
      <c r="A97" s="29"/>
      <c r="B97" s="8">
        <v>2931</v>
      </c>
      <c r="C97" s="40" t="s">
        <v>133</v>
      </c>
      <c r="D97" s="18">
        <v>0</v>
      </c>
      <c r="E97" s="18">
        <v>0</v>
      </c>
      <c r="F97" s="18">
        <v>0</v>
      </c>
      <c r="G97" s="58">
        <f>+F97</f>
        <v>0</v>
      </c>
      <c r="H97" s="18">
        <v>0</v>
      </c>
      <c r="I97" s="58">
        <f>+G97+H97</f>
        <v>0</v>
      </c>
      <c r="J97" s="18">
        <v>0</v>
      </c>
      <c r="K97" s="58">
        <f>+I97+J97</f>
        <v>0</v>
      </c>
      <c r="L97" s="18">
        <v>0</v>
      </c>
      <c r="M97" s="58">
        <f>+K97+L97</f>
        <v>0</v>
      </c>
      <c r="N97" s="18">
        <v>0</v>
      </c>
      <c r="O97" s="58">
        <f>+M97+N97</f>
        <v>0</v>
      </c>
      <c r="P97" s="18">
        <v>0</v>
      </c>
      <c r="Q97" s="58">
        <f>+O97+P97</f>
        <v>0</v>
      </c>
      <c r="R97" s="18">
        <v>0</v>
      </c>
      <c r="S97" s="58">
        <f>+Q97+R97</f>
        <v>0</v>
      </c>
      <c r="T97" s="18">
        <v>0</v>
      </c>
      <c r="U97" s="58">
        <f>+S97+T97</f>
        <v>0</v>
      </c>
      <c r="V97" s="18">
        <v>0</v>
      </c>
      <c r="W97" s="58">
        <f>+U97+V97</f>
        <v>0</v>
      </c>
      <c r="X97" s="18">
        <v>0</v>
      </c>
      <c r="Y97" s="58">
        <f>+W97+X97</f>
        <v>0</v>
      </c>
      <c r="Z97" s="18">
        <v>0</v>
      </c>
      <c r="AA97" s="58">
        <f>+Y97+Z97</f>
        <v>0</v>
      </c>
      <c r="AB97" s="18">
        <v>0</v>
      </c>
      <c r="AC97" s="15">
        <f>+AA97+AB97</f>
        <v>0</v>
      </c>
      <c r="AD97" s="15">
        <f>+E97-AC97</f>
        <v>0</v>
      </c>
    </row>
    <row r="98" spans="1:30" ht="15">
      <c r="A98" s="29"/>
      <c r="B98" s="8">
        <v>2941</v>
      </c>
      <c r="C98" s="8" t="s">
        <v>130</v>
      </c>
      <c r="D98" s="18">
        <v>116000</v>
      </c>
      <c r="E98" s="18">
        <v>116000</v>
      </c>
      <c r="F98" s="18">
        <v>0</v>
      </c>
      <c r="G98" s="58">
        <f>+F98</f>
        <v>0</v>
      </c>
      <c r="H98" s="18">
        <v>0</v>
      </c>
      <c r="I98" s="58">
        <f>+G98+H98</f>
        <v>0</v>
      </c>
      <c r="J98" s="18">
        <v>116000</v>
      </c>
      <c r="K98" s="58">
        <f>+I98+J98</f>
        <v>116000</v>
      </c>
      <c r="L98" s="18">
        <v>0</v>
      </c>
      <c r="M98" s="58">
        <f>+K98+L98</f>
        <v>116000</v>
      </c>
      <c r="N98" s="18">
        <v>0</v>
      </c>
      <c r="O98" s="58">
        <f>+M98+N98</f>
        <v>116000</v>
      </c>
      <c r="P98" s="18">
        <v>0</v>
      </c>
      <c r="Q98" s="58">
        <f>+O98+P98</f>
        <v>116000</v>
      </c>
      <c r="R98" s="18">
        <v>0</v>
      </c>
      <c r="S98" s="58">
        <f>+Q98+R98</f>
        <v>116000</v>
      </c>
      <c r="T98" s="18">
        <v>0</v>
      </c>
      <c r="U98" s="58">
        <f>+S98+T98</f>
        <v>116000</v>
      </c>
      <c r="V98" s="18">
        <v>0</v>
      </c>
      <c r="W98" s="58">
        <f>+U98+V98</f>
        <v>116000</v>
      </c>
      <c r="X98" s="18">
        <v>0</v>
      </c>
      <c r="Y98" s="58">
        <f>+W98+X98</f>
        <v>116000</v>
      </c>
      <c r="Z98" s="18">
        <v>0</v>
      </c>
      <c r="AA98" s="58">
        <f>+Y98+Z98</f>
        <v>116000</v>
      </c>
      <c r="AB98" s="18">
        <v>0</v>
      </c>
      <c r="AC98" s="15">
        <f>+AA98+AB98</f>
        <v>116000</v>
      </c>
      <c r="AD98" s="15">
        <f>+E98-AC98</f>
        <v>0</v>
      </c>
    </row>
    <row r="99" spans="1:30" ht="15">
      <c r="A99" s="29"/>
      <c r="B99" s="8">
        <v>2991</v>
      </c>
      <c r="C99" s="8" t="s">
        <v>207</v>
      </c>
      <c r="D99" s="18">
        <v>0</v>
      </c>
      <c r="E99" s="18">
        <v>0</v>
      </c>
      <c r="F99" s="18">
        <v>0</v>
      </c>
      <c r="G99" s="58">
        <f>+F99</f>
        <v>0</v>
      </c>
      <c r="H99" s="18">
        <v>0</v>
      </c>
      <c r="I99" s="58">
        <f>+G99+H99</f>
        <v>0</v>
      </c>
      <c r="J99" s="18">
        <v>0</v>
      </c>
      <c r="K99" s="58">
        <f>+I99+J99</f>
        <v>0</v>
      </c>
      <c r="L99" s="18">
        <v>0</v>
      </c>
      <c r="M99" s="58">
        <f>+K99+L99</f>
        <v>0</v>
      </c>
      <c r="N99" s="18">
        <v>0</v>
      </c>
      <c r="O99" s="58">
        <f>+M99+N99</f>
        <v>0</v>
      </c>
      <c r="P99" s="18">
        <v>0</v>
      </c>
      <c r="Q99" s="58">
        <f>+O99+P99</f>
        <v>0</v>
      </c>
      <c r="R99" s="18">
        <v>0</v>
      </c>
      <c r="S99" s="58">
        <f>+Q99+R99</f>
        <v>0</v>
      </c>
      <c r="T99" s="18">
        <v>0</v>
      </c>
      <c r="U99" s="58">
        <f>+S99+T99</f>
        <v>0</v>
      </c>
      <c r="V99" s="18">
        <v>0</v>
      </c>
      <c r="W99" s="58">
        <f>+U99+V99</f>
        <v>0</v>
      </c>
      <c r="X99" s="18">
        <v>0</v>
      </c>
      <c r="Y99" s="58">
        <f>+W99+X99</f>
        <v>0</v>
      </c>
      <c r="Z99" s="18">
        <v>0</v>
      </c>
      <c r="AA99" s="58">
        <f>+Y99+Z99</f>
        <v>0</v>
      </c>
      <c r="AB99" s="18">
        <v>0</v>
      </c>
      <c r="AC99" s="15">
        <f>+AA99+AB99</f>
        <v>0</v>
      </c>
      <c r="AD99" s="15">
        <f>+E99-AC99</f>
        <v>0</v>
      </c>
    </row>
    <row r="100" spans="1:29" ht="15">
      <c r="A100" s="29"/>
      <c r="D100" s="18"/>
      <c r="E100" s="18"/>
      <c r="F100" s="18"/>
      <c r="G100" s="59"/>
      <c r="H100" s="18"/>
      <c r="I100" s="15"/>
      <c r="J100" s="18"/>
      <c r="K100" s="15"/>
      <c r="L100" s="18"/>
      <c r="M100" s="15"/>
      <c r="N100" s="18"/>
      <c r="O100" s="15"/>
      <c r="P100" s="18"/>
      <c r="Q100" s="15"/>
      <c r="R100" s="18"/>
      <c r="S100" s="15"/>
      <c r="T100" s="18"/>
      <c r="U100" s="15"/>
      <c r="V100" s="18"/>
      <c r="W100" s="15"/>
      <c r="X100" s="18"/>
      <c r="Y100" s="15"/>
      <c r="Z100" s="18"/>
      <c r="AA100" s="15"/>
      <c r="AB100" s="18"/>
      <c r="AC100" s="15"/>
    </row>
    <row r="101" spans="1:30" ht="16.5" thickBot="1">
      <c r="A101" s="29"/>
      <c r="B101" s="75">
        <v>3000</v>
      </c>
      <c r="C101" s="140" t="s">
        <v>42</v>
      </c>
      <c r="D101" s="62">
        <f aca="true" t="shared" si="71" ref="D101:AD101">+D103+D112+D117+D127+D134+D143+D148+D156+D162</f>
        <v>32502606.260000005</v>
      </c>
      <c r="E101" s="62">
        <f>+E103+E112+E117+E127+E134+E143+E148+E156+E162</f>
        <v>32473491.260000005</v>
      </c>
      <c r="F101" s="62">
        <f>+F103+F112+F117+F127+F134+F143+F148+F156+F162</f>
        <v>2391063.95</v>
      </c>
      <c r="G101" s="62">
        <f t="shared" si="71"/>
        <v>2391063.95</v>
      </c>
      <c r="H101" s="62">
        <f>+H103+H112+H117+H127+H134+H143+H148+H156+H162</f>
        <v>1580950.0399999998</v>
      </c>
      <c r="I101" s="62">
        <f t="shared" si="71"/>
        <v>3972013.99</v>
      </c>
      <c r="J101" s="62">
        <f>+J103+J112+J117+J127+J134+J143+J148+J156+J162</f>
        <v>2305722.5</v>
      </c>
      <c r="K101" s="62">
        <f t="shared" si="71"/>
        <v>6277736.49</v>
      </c>
      <c r="L101" s="62">
        <f>+L103+L112+L117+L127+L134+L143+L148+L156+L162</f>
        <v>1787959.5</v>
      </c>
      <c r="M101" s="62">
        <f t="shared" si="71"/>
        <v>8065695.990000001</v>
      </c>
      <c r="N101" s="62">
        <f>+N103+N112+N117+N127+N134+N143+N148+N156+N162</f>
        <v>1662403.1400000001</v>
      </c>
      <c r="O101" s="62">
        <f t="shared" si="71"/>
        <v>9728099.129999999</v>
      </c>
      <c r="P101" s="62">
        <f>+P103+P112+P117+P127+P134+P143+P148+P156+P162</f>
        <v>1395997.4999999998</v>
      </c>
      <c r="Q101" s="62">
        <f t="shared" si="71"/>
        <v>11124096.629999999</v>
      </c>
      <c r="R101" s="62">
        <f>+R103+R112+R117+R127+R134+R143+R148+R156+R162</f>
        <v>1708263.25</v>
      </c>
      <c r="S101" s="62">
        <f t="shared" si="71"/>
        <v>12832359.879999999</v>
      </c>
      <c r="T101" s="62">
        <f>+T103+T112+T117+T127+T134+T143+T148+T156+T162</f>
        <v>1367122.9300000002</v>
      </c>
      <c r="U101" s="62">
        <f t="shared" si="71"/>
        <v>14199482.81</v>
      </c>
      <c r="V101" s="62">
        <f>+V103+V112+V117+V127+V134+V143+V148+V156+V162</f>
        <v>1588599.48</v>
      </c>
      <c r="W101" s="62">
        <f t="shared" si="71"/>
        <v>15788082.290000001</v>
      </c>
      <c r="X101" s="62">
        <f>+X103+X112+X117+X127+X134+X143+X148+X156+X162</f>
        <v>1257854.94</v>
      </c>
      <c r="Y101" s="62">
        <f t="shared" si="71"/>
        <v>17045937.229999997</v>
      </c>
      <c r="Z101" s="62">
        <f>+Z103+Z112+Z117+Z127+Z134+Z143+Z148+Z156+Z162</f>
        <v>7179242.48</v>
      </c>
      <c r="AA101" s="62">
        <f t="shared" si="71"/>
        <v>24225179.71</v>
      </c>
      <c r="AB101" s="62">
        <f>+AB103+AB112+AB117+AB127+AB134+AB143+AB148+AB156+AB162</f>
        <v>8248311.550000001</v>
      </c>
      <c r="AC101" s="62">
        <f t="shared" si="71"/>
        <v>32473491.260000005</v>
      </c>
      <c r="AD101" s="62">
        <f t="shared" si="71"/>
        <v>0</v>
      </c>
    </row>
    <row r="102" spans="1:30" ht="16.5" thickTop="1">
      <c r="A102" s="29"/>
      <c r="B102" s="63"/>
      <c r="C102" s="7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65"/>
    </row>
    <row r="103" spans="1:30" ht="15.75">
      <c r="A103" s="29"/>
      <c r="B103" s="80">
        <v>3100</v>
      </c>
      <c r="C103" s="67" t="s">
        <v>50</v>
      </c>
      <c r="D103" s="70">
        <f>SUM(D104:D110)</f>
        <v>3034740</v>
      </c>
      <c r="E103" s="70">
        <f>SUM(E104:E110)</f>
        <v>2949761.49</v>
      </c>
      <c r="F103" s="70">
        <f>SUM(F104:F110)</f>
        <v>214378.32</v>
      </c>
      <c r="G103" s="70">
        <f aca="true" t="shared" si="72" ref="G103:AC103">SUM(G104:G110)</f>
        <v>214378.32</v>
      </c>
      <c r="H103" s="70">
        <f>SUM(H104:H110)</f>
        <v>164410.33000000002</v>
      </c>
      <c r="I103" s="70">
        <f t="shared" si="72"/>
        <v>378788.65</v>
      </c>
      <c r="J103" s="70">
        <f>SUM(J104:J110)</f>
        <v>129367.83</v>
      </c>
      <c r="K103" s="70">
        <f t="shared" si="72"/>
        <v>508156.48</v>
      </c>
      <c r="L103" s="70">
        <f>SUM(L104:L110)</f>
        <v>164378.33000000002</v>
      </c>
      <c r="M103" s="70">
        <f t="shared" si="72"/>
        <v>672534.81</v>
      </c>
      <c r="N103" s="70">
        <f>SUM(N104:N110)</f>
        <v>214378.33000000002</v>
      </c>
      <c r="O103" s="70">
        <f t="shared" si="72"/>
        <v>886913.14</v>
      </c>
      <c r="P103" s="70">
        <f>SUM(P104:P110)</f>
        <v>164378.33000000002</v>
      </c>
      <c r="Q103" s="70">
        <f t="shared" si="72"/>
        <v>1051291.47</v>
      </c>
      <c r="R103" s="70">
        <f>SUM(R104:R110)</f>
        <v>214378.33000000002</v>
      </c>
      <c r="S103" s="70">
        <f t="shared" si="72"/>
        <v>1265669.7999999998</v>
      </c>
      <c r="T103" s="70">
        <f>SUM(T104:T110)</f>
        <v>164378.33000000002</v>
      </c>
      <c r="U103" s="70">
        <f t="shared" si="72"/>
        <v>1430048.13</v>
      </c>
      <c r="V103" s="70">
        <f>SUM(V104:V110)</f>
        <v>214378.33000000002</v>
      </c>
      <c r="W103" s="70">
        <f t="shared" si="72"/>
        <v>1644426.4599999997</v>
      </c>
      <c r="X103" s="70">
        <f>SUM(X104:X110)</f>
        <v>164378.33000000002</v>
      </c>
      <c r="Y103" s="70">
        <f t="shared" si="72"/>
        <v>1808804.7899999998</v>
      </c>
      <c r="Z103" s="70">
        <f>SUM(Z104:Z110)</f>
        <v>214378.33000000002</v>
      </c>
      <c r="AA103" s="70">
        <f t="shared" si="72"/>
        <v>2023183.1199999999</v>
      </c>
      <c r="AB103" s="70">
        <f>SUM(AB104:AB110)</f>
        <v>926578.37</v>
      </c>
      <c r="AC103" s="70">
        <f t="shared" si="72"/>
        <v>2949761.49</v>
      </c>
      <c r="AD103" s="70">
        <f>SUM(AD104:AD110)</f>
        <v>0</v>
      </c>
    </row>
    <row r="104" spans="1:31" ht="15.75">
      <c r="A104" s="29"/>
      <c r="B104" s="81">
        <v>3112</v>
      </c>
      <c r="C104" s="26" t="s">
        <v>135</v>
      </c>
      <c r="D104" s="18">
        <v>1700000</v>
      </c>
      <c r="E104" s="286">
        <f>1700000-69025-16000</f>
        <v>1614975</v>
      </c>
      <c r="F104" s="18">
        <v>108333.33</v>
      </c>
      <c r="G104" s="58">
        <f aca="true" t="shared" si="73" ref="G104:G110">+F104</f>
        <v>108333.33</v>
      </c>
      <c r="H104" s="18">
        <v>108333.33</v>
      </c>
      <c r="I104" s="58">
        <f aca="true" t="shared" si="74" ref="I104:I110">+G104+H104</f>
        <v>216666.66</v>
      </c>
      <c r="J104" s="286">
        <f>108333.33-69025-16000</f>
        <v>23308.33</v>
      </c>
      <c r="K104" s="58">
        <f aca="true" t="shared" si="75" ref="K104:K110">+I104+J104</f>
        <v>239974.99</v>
      </c>
      <c r="L104" s="18">
        <v>108333.33</v>
      </c>
      <c r="M104" s="58">
        <f aca="true" t="shared" si="76" ref="M104:M110">+K104+L104</f>
        <v>348308.32</v>
      </c>
      <c r="N104" s="18">
        <v>108333.33</v>
      </c>
      <c r="O104" s="58">
        <f aca="true" t="shared" si="77" ref="O104:O110">+M104+N104</f>
        <v>456641.65</v>
      </c>
      <c r="P104" s="18">
        <v>108333.33</v>
      </c>
      <c r="Q104" s="58">
        <f aca="true" t="shared" si="78" ref="Q104:Q110">+O104+P104</f>
        <v>564974.98</v>
      </c>
      <c r="R104" s="18">
        <v>108333.33</v>
      </c>
      <c r="S104" s="58">
        <f aca="true" t="shared" si="79" ref="S104:S110">+Q104+R104</f>
        <v>673308.3099999999</v>
      </c>
      <c r="T104" s="18">
        <v>108333.33</v>
      </c>
      <c r="U104" s="58">
        <f aca="true" t="shared" si="80" ref="U104:U110">+S104+T104</f>
        <v>781641.6399999999</v>
      </c>
      <c r="V104" s="18">
        <v>108333.33</v>
      </c>
      <c r="W104" s="58">
        <f aca="true" t="shared" si="81" ref="W104:W110">+U104+V104</f>
        <v>889974.9699999999</v>
      </c>
      <c r="X104" s="18">
        <v>108333.33</v>
      </c>
      <c r="Y104" s="58">
        <f aca="true" t="shared" si="82" ref="Y104:Y110">+W104+X104</f>
        <v>998308.2999999998</v>
      </c>
      <c r="Z104" s="18">
        <v>108333.33</v>
      </c>
      <c r="AA104" s="58">
        <f aca="true" t="shared" si="83" ref="AA104:AA110">+Y104+Z104</f>
        <v>1106641.63</v>
      </c>
      <c r="AB104" s="18">
        <v>508333.37</v>
      </c>
      <c r="AC104" s="15">
        <f aca="true" t="shared" si="84" ref="AC104:AC109">+AA104+AB104</f>
        <v>1614975</v>
      </c>
      <c r="AD104" s="15">
        <f aca="true" t="shared" si="85" ref="AD104:AD110">+E104-AC104</f>
        <v>0</v>
      </c>
      <c r="AE104" s="15"/>
    </row>
    <row r="105" spans="1:31" ht="15">
      <c r="A105" s="29"/>
      <c r="B105" s="81">
        <v>3131</v>
      </c>
      <c r="C105" s="26" t="s">
        <v>136</v>
      </c>
      <c r="D105" s="18">
        <v>495000</v>
      </c>
      <c r="E105" s="18">
        <v>495000</v>
      </c>
      <c r="F105" s="18">
        <f>50000</f>
        <v>50000</v>
      </c>
      <c r="G105" s="58">
        <f t="shared" si="73"/>
        <v>50000</v>
      </c>
      <c r="H105" s="18">
        <v>0</v>
      </c>
      <c r="I105" s="58">
        <f t="shared" si="74"/>
        <v>50000</v>
      </c>
      <c r="J105" s="18">
        <v>50000</v>
      </c>
      <c r="K105" s="58">
        <f t="shared" si="75"/>
        <v>100000</v>
      </c>
      <c r="L105" s="18">
        <v>0</v>
      </c>
      <c r="M105" s="58">
        <f t="shared" si="76"/>
        <v>100000</v>
      </c>
      <c r="N105" s="18">
        <v>50000</v>
      </c>
      <c r="O105" s="58">
        <f t="shared" si="77"/>
        <v>150000</v>
      </c>
      <c r="P105" s="18">
        <v>0</v>
      </c>
      <c r="Q105" s="58">
        <f t="shared" si="78"/>
        <v>150000</v>
      </c>
      <c r="R105" s="18">
        <v>50000</v>
      </c>
      <c r="S105" s="58">
        <f t="shared" si="79"/>
        <v>200000</v>
      </c>
      <c r="T105" s="18">
        <v>0</v>
      </c>
      <c r="U105" s="58">
        <f t="shared" si="80"/>
        <v>200000</v>
      </c>
      <c r="V105" s="18">
        <v>50000</v>
      </c>
      <c r="W105" s="58">
        <f t="shared" si="81"/>
        <v>250000</v>
      </c>
      <c r="X105" s="18">
        <v>0</v>
      </c>
      <c r="Y105" s="58">
        <f t="shared" si="82"/>
        <v>250000</v>
      </c>
      <c r="Z105" s="18">
        <v>50000</v>
      </c>
      <c r="AA105" s="58">
        <f t="shared" si="83"/>
        <v>300000</v>
      </c>
      <c r="AB105" s="18">
        <v>195000</v>
      </c>
      <c r="AC105" s="15">
        <f t="shared" si="84"/>
        <v>495000</v>
      </c>
      <c r="AD105" s="15">
        <f t="shared" si="85"/>
        <v>0</v>
      </c>
      <c r="AE105" s="15"/>
    </row>
    <row r="106" spans="1:31" ht="15.75">
      <c r="A106" s="29"/>
      <c r="B106" s="81">
        <v>3141</v>
      </c>
      <c r="C106" s="26" t="s">
        <v>134</v>
      </c>
      <c r="D106" s="18">
        <v>551200</v>
      </c>
      <c r="E106" s="286">
        <f>551200-0.01</f>
        <v>551199.99</v>
      </c>
      <c r="F106" s="286">
        <f>32000-0.01</f>
        <v>31999.99</v>
      </c>
      <c r="G106" s="58">
        <f t="shared" si="73"/>
        <v>31999.99</v>
      </c>
      <c r="H106" s="18">
        <v>32000</v>
      </c>
      <c r="I106" s="58">
        <f t="shared" si="74"/>
        <v>63999.990000000005</v>
      </c>
      <c r="J106" s="18">
        <v>32000</v>
      </c>
      <c r="K106" s="58">
        <f t="shared" si="75"/>
        <v>95999.99</v>
      </c>
      <c r="L106" s="18">
        <v>32000</v>
      </c>
      <c r="M106" s="58">
        <f t="shared" si="76"/>
        <v>127999.99</v>
      </c>
      <c r="N106" s="18">
        <v>32000</v>
      </c>
      <c r="O106" s="58">
        <f t="shared" si="77"/>
        <v>159999.99</v>
      </c>
      <c r="P106" s="18">
        <v>32000</v>
      </c>
      <c r="Q106" s="58">
        <f t="shared" si="78"/>
        <v>191999.99</v>
      </c>
      <c r="R106" s="18">
        <v>32000</v>
      </c>
      <c r="S106" s="58">
        <f t="shared" si="79"/>
        <v>223999.99</v>
      </c>
      <c r="T106" s="18">
        <v>32000</v>
      </c>
      <c r="U106" s="58">
        <f t="shared" si="80"/>
        <v>255999.99</v>
      </c>
      <c r="V106" s="18">
        <v>32000</v>
      </c>
      <c r="W106" s="58">
        <f t="shared" si="81"/>
        <v>287999.99</v>
      </c>
      <c r="X106" s="18">
        <v>32000</v>
      </c>
      <c r="Y106" s="58">
        <f t="shared" si="82"/>
        <v>319999.99</v>
      </c>
      <c r="Z106" s="18">
        <v>32000</v>
      </c>
      <c r="AA106" s="58">
        <f t="shared" si="83"/>
        <v>351999.99</v>
      </c>
      <c r="AB106" s="18">
        <v>199200</v>
      </c>
      <c r="AC106" s="15">
        <f t="shared" si="84"/>
        <v>551199.99</v>
      </c>
      <c r="AD106" s="15">
        <f t="shared" si="85"/>
        <v>0</v>
      </c>
      <c r="AE106" s="18"/>
    </row>
    <row r="107" spans="1:30" ht="15">
      <c r="A107" s="29"/>
      <c r="B107" s="82">
        <v>3151</v>
      </c>
      <c r="C107" s="8" t="s">
        <v>7</v>
      </c>
      <c r="D107" s="18">
        <v>0</v>
      </c>
      <c r="E107" s="18">
        <v>0</v>
      </c>
      <c r="F107" s="18">
        <v>0</v>
      </c>
      <c r="G107" s="58">
        <f t="shared" si="73"/>
        <v>0</v>
      </c>
      <c r="H107" s="18">
        <v>0</v>
      </c>
      <c r="I107" s="58">
        <f t="shared" si="74"/>
        <v>0</v>
      </c>
      <c r="J107" s="18">
        <v>0</v>
      </c>
      <c r="K107" s="58">
        <f t="shared" si="75"/>
        <v>0</v>
      </c>
      <c r="L107" s="18">
        <v>0</v>
      </c>
      <c r="M107" s="58">
        <f t="shared" si="76"/>
        <v>0</v>
      </c>
      <c r="N107" s="18">
        <v>0</v>
      </c>
      <c r="O107" s="58">
        <f t="shared" si="77"/>
        <v>0</v>
      </c>
      <c r="P107" s="18">
        <v>0</v>
      </c>
      <c r="Q107" s="58">
        <f t="shared" si="78"/>
        <v>0</v>
      </c>
      <c r="R107" s="18">
        <v>0</v>
      </c>
      <c r="S107" s="58">
        <f t="shared" si="79"/>
        <v>0</v>
      </c>
      <c r="T107" s="18">
        <v>0</v>
      </c>
      <c r="U107" s="58">
        <f t="shared" si="80"/>
        <v>0</v>
      </c>
      <c r="V107" s="18">
        <v>0</v>
      </c>
      <c r="W107" s="58">
        <f t="shared" si="81"/>
        <v>0</v>
      </c>
      <c r="X107" s="18">
        <v>0</v>
      </c>
      <c r="Y107" s="58">
        <f t="shared" si="82"/>
        <v>0</v>
      </c>
      <c r="Z107" s="18">
        <v>0</v>
      </c>
      <c r="AA107" s="58">
        <f t="shared" si="83"/>
        <v>0</v>
      </c>
      <c r="AB107" s="18">
        <v>0</v>
      </c>
      <c r="AC107" s="15">
        <f t="shared" si="84"/>
        <v>0</v>
      </c>
      <c r="AD107" s="15">
        <f t="shared" si="85"/>
        <v>0</v>
      </c>
    </row>
    <row r="108" spans="1:30" ht="15">
      <c r="A108" s="29"/>
      <c r="B108" s="78">
        <v>3161</v>
      </c>
      <c r="C108" s="8" t="s">
        <v>229</v>
      </c>
      <c r="D108" s="18">
        <v>19860</v>
      </c>
      <c r="E108" s="18">
        <v>19860</v>
      </c>
      <c r="F108" s="18">
        <v>1655</v>
      </c>
      <c r="G108" s="58">
        <f t="shared" si="73"/>
        <v>1655</v>
      </c>
      <c r="H108" s="18">
        <v>1655</v>
      </c>
      <c r="I108" s="58">
        <f t="shared" si="74"/>
        <v>3310</v>
      </c>
      <c r="J108" s="18">
        <v>1655</v>
      </c>
      <c r="K108" s="58">
        <f t="shared" si="75"/>
        <v>4965</v>
      </c>
      <c r="L108" s="18">
        <v>1655</v>
      </c>
      <c r="M108" s="58">
        <f t="shared" si="76"/>
        <v>6620</v>
      </c>
      <c r="N108" s="18">
        <v>1655</v>
      </c>
      <c r="O108" s="58">
        <f t="shared" si="77"/>
        <v>8275</v>
      </c>
      <c r="P108" s="18">
        <v>1655</v>
      </c>
      <c r="Q108" s="58">
        <f t="shared" si="78"/>
        <v>9930</v>
      </c>
      <c r="R108" s="18">
        <v>1655</v>
      </c>
      <c r="S108" s="58">
        <f t="shared" si="79"/>
        <v>11585</v>
      </c>
      <c r="T108" s="18">
        <v>1655</v>
      </c>
      <c r="U108" s="58">
        <f t="shared" si="80"/>
        <v>13240</v>
      </c>
      <c r="V108" s="18">
        <v>1655</v>
      </c>
      <c r="W108" s="58">
        <f t="shared" si="81"/>
        <v>14895</v>
      </c>
      <c r="X108" s="18">
        <v>1655</v>
      </c>
      <c r="Y108" s="58">
        <f t="shared" si="82"/>
        <v>16550</v>
      </c>
      <c r="Z108" s="18">
        <v>1655</v>
      </c>
      <c r="AA108" s="58">
        <f t="shared" si="83"/>
        <v>18205</v>
      </c>
      <c r="AB108" s="18">
        <v>1655</v>
      </c>
      <c r="AC108" s="15">
        <f t="shared" si="84"/>
        <v>19860</v>
      </c>
      <c r="AD108" s="15">
        <f t="shared" si="85"/>
        <v>0</v>
      </c>
    </row>
    <row r="109" spans="1:31" ht="15">
      <c r="A109" s="29"/>
      <c r="B109" s="82">
        <v>3171</v>
      </c>
      <c r="C109" s="8" t="s">
        <v>139</v>
      </c>
      <c r="D109" s="18">
        <v>268680</v>
      </c>
      <c r="E109" s="18">
        <v>268680</v>
      </c>
      <c r="F109" s="18">
        <v>22390</v>
      </c>
      <c r="G109" s="58">
        <f t="shared" si="73"/>
        <v>22390</v>
      </c>
      <c r="H109" s="18">
        <v>22390</v>
      </c>
      <c r="I109" s="58">
        <f t="shared" si="74"/>
        <v>44780</v>
      </c>
      <c r="J109" s="18">
        <v>22390</v>
      </c>
      <c r="K109" s="58">
        <f t="shared" si="75"/>
        <v>67170</v>
      </c>
      <c r="L109" s="18">
        <v>22390</v>
      </c>
      <c r="M109" s="58">
        <f t="shared" si="76"/>
        <v>89560</v>
      </c>
      <c r="N109" s="18">
        <v>22390</v>
      </c>
      <c r="O109" s="58">
        <f t="shared" si="77"/>
        <v>111950</v>
      </c>
      <c r="P109" s="18">
        <v>22390</v>
      </c>
      <c r="Q109" s="58">
        <f t="shared" si="78"/>
        <v>134340</v>
      </c>
      <c r="R109" s="18">
        <v>22390</v>
      </c>
      <c r="S109" s="58">
        <f t="shared" si="79"/>
        <v>156730</v>
      </c>
      <c r="T109" s="18">
        <v>22390</v>
      </c>
      <c r="U109" s="58">
        <f t="shared" si="80"/>
        <v>179120</v>
      </c>
      <c r="V109" s="18">
        <v>22390</v>
      </c>
      <c r="W109" s="58">
        <f t="shared" si="81"/>
        <v>201510</v>
      </c>
      <c r="X109" s="18">
        <v>22390</v>
      </c>
      <c r="Y109" s="58">
        <f t="shared" si="82"/>
        <v>223900</v>
      </c>
      <c r="Z109" s="18">
        <v>22390</v>
      </c>
      <c r="AA109" s="58">
        <f t="shared" si="83"/>
        <v>246290</v>
      </c>
      <c r="AB109" s="18">
        <v>22390</v>
      </c>
      <c r="AC109" s="15">
        <f t="shared" si="84"/>
        <v>268680</v>
      </c>
      <c r="AD109" s="15">
        <f t="shared" si="85"/>
        <v>0</v>
      </c>
      <c r="AE109" s="15"/>
    </row>
    <row r="110" spans="1:31" ht="15.75">
      <c r="A110" s="29"/>
      <c r="B110" s="81">
        <v>3181</v>
      </c>
      <c r="C110" s="26" t="s">
        <v>138</v>
      </c>
      <c r="D110" s="18">
        <v>0</v>
      </c>
      <c r="E110" s="286">
        <f>0+32+14.5</f>
        <v>46.5</v>
      </c>
      <c r="F110" s="18">
        <v>0</v>
      </c>
      <c r="G110" s="58">
        <f t="shared" si="73"/>
        <v>0</v>
      </c>
      <c r="H110" s="286">
        <f>0+32</f>
        <v>32</v>
      </c>
      <c r="I110" s="58">
        <f t="shared" si="74"/>
        <v>32</v>
      </c>
      <c r="J110" s="286">
        <f>0+14.5</f>
        <v>14.5</v>
      </c>
      <c r="K110" s="58">
        <f t="shared" si="75"/>
        <v>46.5</v>
      </c>
      <c r="L110" s="18">
        <v>0</v>
      </c>
      <c r="M110" s="58">
        <f t="shared" si="76"/>
        <v>46.5</v>
      </c>
      <c r="N110" s="18">
        <v>0</v>
      </c>
      <c r="O110" s="58">
        <f t="shared" si="77"/>
        <v>46.5</v>
      </c>
      <c r="P110" s="18">
        <v>0</v>
      </c>
      <c r="Q110" s="58">
        <f t="shared" si="78"/>
        <v>46.5</v>
      </c>
      <c r="R110" s="18">
        <v>0</v>
      </c>
      <c r="S110" s="58">
        <f t="shared" si="79"/>
        <v>46.5</v>
      </c>
      <c r="T110" s="18">
        <v>0</v>
      </c>
      <c r="U110" s="58">
        <f t="shared" si="80"/>
        <v>46.5</v>
      </c>
      <c r="V110" s="18">
        <v>0</v>
      </c>
      <c r="W110" s="58">
        <f t="shared" si="81"/>
        <v>46.5</v>
      </c>
      <c r="X110" s="18">
        <v>0</v>
      </c>
      <c r="Y110" s="58">
        <f t="shared" si="82"/>
        <v>46.5</v>
      </c>
      <c r="Z110" s="18">
        <v>0</v>
      </c>
      <c r="AA110" s="58">
        <f t="shared" si="83"/>
        <v>46.5</v>
      </c>
      <c r="AB110" s="18">
        <v>0</v>
      </c>
      <c r="AC110" s="15">
        <f>+AA110+AB110</f>
        <v>46.5</v>
      </c>
      <c r="AD110" s="15">
        <f t="shared" si="85"/>
        <v>0</v>
      </c>
      <c r="AE110" s="15"/>
    </row>
    <row r="111" spans="1:30" ht="15">
      <c r="A111" s="29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41"/>
    </row>
    <row r="112" spans="1:30" ht="15.75">
      <c r="A112" s="29"/>
      <c r="B112" s="80">
        <v>3200</v>
      </c>
      <c r="C112" s="67" t="s">
        <v>149</v>
      </c>
      <c r="D112" s="70">
        <f>SUM(D113:D115)</f>
        <v>1192096.1700000002</v>
      </c>
      <c r="E112" s="70">
        <f>SUM(E113:E115)</f>
        <v>1192096.1800000002</v>
      </c>
      <c r="F112" s="70">
        <f>SUM(F113:F115)</f>
        <v>196792.77</v>
      </c>
      <c r="G112" s="70">
        <f aca="true" t="shared" si="86" ref="G112:AC112">SUM(G113:G115)</f>
        <v>196792.77</v>
      </c>
      <c r="H112" s="70">
        <f>SUM(H113:H115)</f>
        <v>48333.33</v>
      </c>
      <c r="I112" s="70">
        <f t="shared" si="86"/>
        <v>245126.1</v>
      </c>
      <c r="J112" s="70">
        <f>SUM(J113:J115)</f>
        <v>48333.33</v>
      </c>
      <c r="K112" s="70">
        <f t="shared" si="86"/>
        <v>293459.43</v>
      </c>
      <c r="L112" s="70">
        <f>SUM(L113:L115)</f>
        <v>170135.49</v>
      </c>
      <c r="M112" s="70">
        <f t="shared" si="86"/>
        <v>463594.92</v>
      </c>
      <c r="N112" s="70">
        <f>SUM(N113:N115)</f>
        <v>103273.93</v>
      </c>
      <c r="O112" s="70">
        <f t="shared" si="86"/>
        <v>566868.85</v>
      </c>
      <c r="P112" s="70">
        <f>SUM(P113:P115)</f>
        <v>111669.33</v>
      </c>
      <c r="Q112" s="70">
        <f t="shared" si="86"/>
        <v>678538.1799999999</v>
      </c>
      <c r="R112" s="70">
        <f>SUM(R113:R115)</f>
        <v>48333.33</v>
      </c>
      <c r="S112" s="70">
        <f t="shared" si="86"/>
        <v>726871.51</v>
      </c>
      <c r="T112" s="70">
        <f>SUM(T113:T115)</f>
        <v>48333.33</v>
      </c>
      <c r="U112" s="70">
        <f t="shared" si="86"/>
        <v>775204.8400000001</v>
      </c>
      <c r="V112" s="70">
        <f>SUM(V113:V115)</f>
        <v>271891.31</v>
      </c>
      <c r="W112" s="70">
        <f t="shared" si="86"/>
        <v>1047096.15</v>
      </c>
      <c r="X112" s="70">
        <f>SUM(X113:X115)</f>
        <v>48333.33</v>
      </c>
      <c r="Y112" s="70">
        <f t="shared" si="86"/>
        <v>1095429.48</v>
      </c>
      <c r="Z112" s="70">
        <f>SUM(Z113:Z115)</f>
        <v>48333.33</v>
      </c>
      <c r="AA112" s="70">
        <f t="shared" si="86"/>
        <v>1143762.81</v>
      </c>
      <c r="AB112" s="70">
        <f>SUM(AB113:AB115)</f>
        <v>48333.37</v>
      </c>
      <c r="AC112" s="70">
        <f t="shared" si="86"/>
        <v>1192096.1800000002</v>
      </c>
      <c r="AD112" s="70">
        <f>SUM(AD113:AD115)</f>
        <v>0</v>
      </c>
    </row>
    <row r="113" spans="1:31" ht="15.75">
      <c r="A113" s="29"/>
      <c r="B113" s="81">
        <v>3231</v>
      </c>
      <c r="C113" s="26" t="s">
        <v>191</v>
      </c>
      <c r="D113" s="18">
        <v>580000.0000000001</v>
      </c>
      <c r="E113" s="286">
        <f>580000+0.01</f>
        <v>580000.01</v>
      </c>
      <c r="F113" s="286">
        <f>48333.33+0.01</f>
        <v>48333.340000000004</v>
      </c>
      <c r="G113" s="58">
        <f>+F113</f>
        <v>48333.340000000004</v>
      </c>
      <c r="H113" s="18">
        <v>48333.33</v>
      </c>
      <c r="I113" s="58">
        <f>+G113+H113</f>
        <v>96666.67000000001</v>
      </c>
      <c r="J113" s="18">
        <v>48333.33</v>
      </c>
      <c r="K113" s="58">
        <f>+I113+J113</f>
        <v>145000</v>
      </c>
      <c r="L113" s="18">
        <v>48333.33</v>
      </c>
      <c r="M113" s="58">
        <f>+K113+L113</f>
        <v>193333.33000000002</v>
      </c>
      <c r="N113" s="18">
        <v>48333.33</v>
      </c>
      <c r="O113" s="58">
        <f>+M113+N113</f>
        <v>241666.66000000003</v>
      </c>
      <c r="P113" s="18">
        <v>48333.33</v>
      </c>
      <c r="Q113" s="58">
        <f>+O113+P113</f>
        <v>289999.99000000005</v>
      </c>
      <c r="R113" s="18">
        <v>48333.33</v>
      </c>
      <c r="S113" s="58">
        <f>+Q113+R113</f>
        <v>338333.32000000007</v>
      </c>
      <c r="T113" s="18">
        <v>48333.33</v>
      </c>
      <c r="U113" s="58">
        <f>+S113+T113</f>
        <v>386666.6500000001</v>
      </c>
      <c r="V113" s="18">
        <v>48333.33</v>
      </c>
      <c r="W113" s="58">
        <f>+U113+V113</f>
        <v>434999.9800000001</v>
      </c>
      <c r="X113" s="18">
        <v>48333.33</v>
      </c>
      <c r="Y113" s="58">
        <f>+W113+X113</f>
        <v>483333.3100000001</v>
      </c>
      <c r="Z113" s="18">
        <v>48333.33</v>
      </c>
      <c r="AA113" s="58">
        <f>+Y113+Z113</f>
        <v>531666.6400000001</v>
      </c>
      <c r="AB113" s="18">
        <v>48333.37</v>
      </c>
      <c r="AC113" s="15">
        <f>+AA113+AB113</f>
        <v>580000.0100000001</v>
      </c>
      <c r="AD113" s="15">
        <f>+E113-AC113</f>
        <v>0</v>
      </c>
      <c r="AE113" s="15"/>
    </row>
    <row r="114" spans="1:31" ht="15">
      <c r="A114" s="29"/>
      <c r="B114" s="81">
        <v>3271</v>
      </c>
      <c r="C114" s="26" t="s">
        <v>245</v>
      </c>
      <c r="D114" s="18">
        <v>612096.17</v>
      </c>
      <c r="E114" s="18">
        <v>612096.17</v>
      </c>
      <c r="F114" s="18">
        <v>148459.43</v>
      </c>
      <c r="G114" s="158">
        <f>+F114</f>
        <v>148459.43</v>
      </c>
      <c r="H114" s="18">
        <v>0</v>
      </c>
      <c r="I114" s="158">
        <f>+G114+H114</f>
        <v>148459.43</v>
      </c>
      <c r="J114" s="18">
        <v>0</v>
      </c>
      <c r="K114" s="158">
        <f>+I114+J114</f>
        <v>148459.43</v>
      </c>
      <c r="L114" s="18">
        <v>121802.16</v>
      </c>
      <c r="M114" s="158">
        <f>+K114+L114</f>
        <v>270261.58999999997</v>
      </c>
      <c r="N114" s="18">
        <v>54940.6</v>
      </c>
      <c r="O114" s="158">
        <f>+M114+N114</f>
        <v>325202.18999999994</v>
      </c>
      <c r="P114" s="18">
        <v>63336</v>
      </c>
      <c r="Q114" s="158">
        <f>+O114+P114</f>
        <v>388538.18999999994</v>
      </c>
      <c r="R114" s="18">
        <v>0</v>
      </c>
      <c r="S114" s="158">
        <f>+Q114+R114</f>
        <v>388538.18999999994</v>
      </c>
      <c r="T114" s="18">
        <v>0</v>
      </c>
      <c r="U114" s="158">
        <f>+S114+T114</f>
        <v>388538.18999999994</v>
      </c>
      <c r="V114" s="18">
        <v>223557.98</v>
      </c>
      <c r="W114" s="158">
        <f>+U114+V114</f>
        <v>612096.1699999999</v>
      </c>
      <c r="X114" s="18">
        <v>0</v>
      </c>
      <c r="Y114" s="158">
        <f>+W114+X114</f>
        <v>612096.1699999999</v>
      </c>
      <c r="Z114" s="18">
        <v>0</v>
      </c>
      <c r="AA114" s="158">
        <f>+Y114+Z114</f>
        <v>612096.1699999999</v>
      </c>
      <c r="AB114" s="18">
        <v>0</v>
      </c>
      <c r="AC114" s="159">
        <f>+AA114+AB114</f>
        <v>612096.1699999999</v>
      </c>
      <c r="AD114" s="15">
        <f>+E114-AC114</f>
        <v>0</v>
      </c>
      <c r="AE114" s="15"/>
    </row>
    <row r="115" spans="1:31" ht="15">
      <c r="A115" s="29"/>
      <c r="B115" s="82">
        <v>3291</v>
      </c>
      <c r="C115" s="8" t="s">
        <v>27</v>
      </c>
      <c r="D115" s="18">
        <v>0</v>
      </c>
      <c r="E115" s="18">
        <v>0</v>
      </c>
      <c r="F115" s="18">
        <v>0</v>
      </c>
      <c r="G115" s="58">
        <f>+F115</f>
        <v>0</v>
      </c>
      <c r="H115" s="18">
        <v>0</v>
      </c>
      <c r="I115" s="58">
        <f>+G115+H115</f>
        <v>0</v>
      </c>
      <c r="J115" s="18">
        <v>0</v>
      </c>
      <c r="K115" s="58">
        <f>+I115+J115</f>
        <v>0</v>
      </c>
      <c r="L115" s="18">
        <v>0</v>
      </c>
      <c r="M115" s="58">
        <f>+K115+L115</f>
        <v>0</v>
      </c>
      <c r="N115" s="18">
        <v>0</v>
      </c>
      <c r="O115" s="58">
        <f>+M115+N115</f>
        <v>0</v>
      </c>
      <c r="P115" s="18">
        <v>0</v>
      </c>
      <c r="Q115" s="58">
        <f>+O115+P115</f>
        <v>0</v>
      </c>
      <c r="R115" s="18">
        <v>0</v>
      </c>
      <c r="S115" s="58">
        <f>+Q115+R115</f>
        <v>0</v>
      </c>
      <c r="T115" s="18">
        <v>0</v>
      </c>
      <c r="U115" s="58">
        <f>+S115+T115</f>
        <v>0</v>
      </c>
      <c r="V115" s="18">
        <v>0</v>
      </c>
      <c r="W115" s="58">
        <f>+U115+V115</f>
        <v>0</v>
      </c>
      <c r="X115" s="18">
        <v>0</v>
      </c>
      <c r="Y115" s="58">
        <f>+W115+X115</f>
        <v>0</v>
      </c>
      <c r="Z115" s="18">
        <v>0</v>
      </c>
      <c r="AA115" s="58">
        <f>+Y115+Z115</f>
        <v>0</v>
      </c>
      <c r="AB115" s="18">
        <v>0</v>
      </c>
      <c r="AC115" s="15">
        <f>+AA115+AB115</f>
        <v>0</v>
      </c>
      <c r="AD115" s="15">
        <f>+E115-AC115</f>
        <v>0</v>
      </c>
      <c r="AE115" s="18"/>
    </row>
    <row r="116" spans="1:30" ht="15">
      <c r="A116" s="29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41"/>
    </row>
    <row r="117" spans="1:30" ht="15.75">
      <c r="A117" s="29"/>
      <c r="B117" s="16">
        <v>3300</v>
      </c>
      <c r="C117" s="77" t="s">
        <v>189</v>
      </c>
      <c r="D117" s="70">
        <f aca="true" t="shared" si="87" ref="D117:AD117">SUM(D118:D125)</f>
        <v>9770466.23</v>
      </c>
      <c r="E117" s="70">
        <f>SUM(E118:E125)</f>
        <v>9729187.23</v>
      </c>
      <c r="F117" s="70">
        <f>SUM(F118:F125)</f>
        <v>131833.07</v>
      </c>
      <c r="G117" s="70">
        <f t="shared" si="87"/>
        <v>131833.07</v>
      </c>
      <c r="H117" s="70">
        <f>SUM(H118:H125)</f>
        <v>384596.56999999995</v>
      </c>
      <c r="I117" s="70">
        <f t="shared" si="87"/>
        <v>516429.64</v>
      </c>
      <c r="J117" s="70">
        <f>SUM(J118:J125)</f>
        <v>292554.06999999995</v>
      </c>
      <c r="K117" s="70">
        <f t="shared" si="87"/>
        <v>808983.71</v>
      </c>
      <c r="L117" s="70">
        <f>SUM(L118:L125)</f>
        <v>451707.87</v>
      </c>
      <c r="M117" s="70">
        <f t="shared" si="87"/>
        <v>1260691.58</v>
      </c>
      <c r="N117" s="70">
        <f>SUM(N118:N125)</f>
        <v>553033.07</v>
      </c>
      <c r="O117" s="70">
        <f t="shared" si="87"/>
        <v>1813724.65</v>
      </c>
      <c r="P117" s="70">
        <f>SUM(P118:P125)</f>
        <v>330433.07</v>
      </c>
      <c r="Q117" s="70">
        <f t="shared" si="87"/>
        <v>2144157.72</v>
      </c>
      <c r="R117" s="70">
        <f>SUM(R118:R125)</f>
        <v>361833.06999999995</v>
      </c>
      <c r="S117" s="70">
        <f t="shared" si="87"/>
        <v>2505990.79</v>
      </c>
      <c r="T117" s="70">
        <f>SUM(T118:T125)</f>
        <v>402673.45999999996</v>
      </c>
      <c r="U117" s="70">
        <f t="shared" si="87"/>
        <v>2908664.25</v>
      </c>
      <c r="V117" s="70">
        <f>SUM(V118:V125)</f>
        <v>316833.07</v>
      </c>
      <c r="W117" s="70">
        <f t="shared" si="87"/>
        <v>3225497.3200000003</v>
      </c>
      <c r="X117" s="70">
        <f>SUM(X118:X125)</f>
        <v>261833.06999999998</v>
      </c>
      <c r="Y117" s="70">
        <f t="shared" si="87"/>
        <v>3487330.39</v>
      </c>
      <c r="Z117" s="70">
        <f>SUM(Z118:Z125)</f>
        <v>6037286.53</v>
      </c>
      <c r="AA117" s="70">
        <f t="shared" si="87"/>
        <v>9524616.92</v>
      </c>
      <c r="AB117" s="70">
        <f>SUM(AB118:AB125)</f>
        <v>204570.31</v>
      </c>
      <c r="AC117" s="70">
        <f t="shared" si="87"/>
        <v>9729187.23</v>
      </c>
      <c r="AD117" s="70">
        <f t="shared" si="87"/>
        <v>0</v>
      </c>
    </row>
    <row r="118" spans="1:31" ht="15.75">
      <c r="A118" s="29"/>
      <c r="B118" s="8">
        <v>3311</v>
      </c>
      <c r="C118" s="8" t="s">
        <v>140</v>
      </c>
      <c r="D118" s="18">
        <v>236813.5</v>
      </c>
      <c r="E118" s="286">
        <f>236813.5-14200</f>
        <v>222613.5</v>
      </c>
      <c r="F118" s="18">
        <v>0</v>
      </c>
      <c r="G118" s="58">
        <f aca="true" t="shared" si="88" ref="G118:G125">+F118</f>
        <v>0</v>
      </c>
      <c r="H118" s="18">
        <v>236813.5</v>
      </c>
      <c r="I118" s="58">
        <f aca="true" t="shared" si="89" ref="I118:I125">+G118+H118</f>
        <v>236813.5</v>
      </c>
      <c r="J118" s="286">
        <f>0-14200</f>
        <v>-14200</v>
      </c>
      <c r="K118" s="58">
        <f aca="true" t="shared" si="90" ref="K118:K125">+I118+J118</f>
        <v>222613.5</v>
      </c>
      <c r="L118" s="18">
        <v>0</v>
      </c>
      <c r="M118" s="58">
        <f aca="true" t="shared" si="91" ref="M118:M125">+K118+L118</f>
        <v>222613.5</v>
      </c>
      <c r="N118" s="18">
        <v>0</v>
      </c>
      <c r="O118" s="58">
        <f aca="true" t="shared" si="92" ref="O118:O125">+M118+N118</f>
        <v>222613.5</v>
      </c>
      <c r="P118" s="18">
        <v>0</v>
      </c>
      <c r="Q118" s="58">
        <f aca="true" t="shared" si="93" ref="Q118:Q125">+O118+P118</f>
        <v>222613.5</v>
      </c>
      <c r="R118" s="18">
        <v>0</v>
      </c>
      <c r="S118" s="58">
        <f aca="true" t="shared" si="94" ref="S118:S125">+Q118+R118</f>
        <v>222613.5</v>
      </c>
      <c r="T118" s="18">
        <v>0</v>
      </c>
      <c r="U118" s="58">
        <f aca="true" t="shared" si="95" ref="U118:U125">+S118+T118</f>
        <v>222613.5</v>
      </c>
      <c r="V118" s="18">
        <v>0</v>
      </c>
      <c r="W118" s="58">
        <f aca="true" t="shared" si="96" ref="W118:W125">+U118+V118</f>
        <v>222613.5</v>
      </c>
      <c r="X118" s="18">
        <v>0</v>
      </c>
      <c r="Y118" s="58">
        <f aca="true" t="shared" si="97" ref="Y118:Y125">+W118+X118</f>
        <v>222613.5</v>
      </c>
      <c r="Z118" s="18">
        <v>0</v>
      </c>
      <c r="AA118" s="58">
        <f aca="true" t="shared" si="98" ref="AA118:AA125">+Y118+Z118</f>
        <v>222613.5</v>
      </c>
      <c r="AB118" s="18">
        <v>0</v>
      </c>
      <c r="AC118" s="15">
        <f aca="true" t="shared" si="99" ref="AC118:AC125">+AA118+AB118</f>
        <v>222613.5</v>
      </c>
      <c r="AD118" s="15">
        <f aca="true" t="shared" si="100" ref="AD118:AD125">+E118-AC118</f>
        <v>0</v>
      </c>
      <c r="AE118" s="15"/>
    </row>
    <row r="119" spans="1:31" ht="15">
      <c r="A119" s="29"/>
      <c r="B119" s="8">
        <v>3331</v>
      </c>
      <c r="C119" s="8" t="s">
        <v>141</v>
      </c>
      <c r="D119" s="18">
        <v>1504740.56</v>
      </c>
      <c r="E119" s="18">
        <v>1504740.56</v>
      </c>
      <c r="F119" s="18">
        <v>15209.73</v>
      </c>
      <c r="G119" s="58">
        <f t="shared" si="88"/>
        <v>15209.73</v>
      </c>
      <c r="H119" s="18">
        <v>15209.73</v>
      </c>
      <c r="I119" s="58">
        <f t="shared" si="89"/>
        <v>30419.46</v>
      </c>
      <c r="J119" s="18">
        <v>15209.73</v>
      </c>
      <c r="K119" s="58">
        <f t="shared" si="90"/>
        <v>45629.19</v>
      </c>
      <c r="L119" s="18">
        <v>76434.53</v>
      </c>
      <c r="M119" s="58">
        <f t="shared" si="91"/>
        <v>122063.72</v>
      </c>
      <c r="N119" s="18">
        <v>15209.73</v>
      </c>
      <c r="O119" s="58">
        <f t="shared" si="92"/>
        <v>137273.45</v>
      </c>
      <c r="P119" s="18">
        <v>15209.73</v>
      </c>
      <c r="Q119" s="58">
        <f t="shared" si="93"/>
        <v>152483.18000000002</v>
      </c>
      <c r="R119" s="18">
        <v>15209.73</v>
      </c>
      <c r="S119" s="58">
        <f t="shared" si="94"/>
        <v>167692.91000000003</v>
      </c>
      <c r="T119" s="18">
        <v>15209.73</v>
      </c>
      <c r="U119" s="58">
        <f t="shared" si="95"/>
        <v>182902.64000000004</v>
      </c>
      <c r="V119" s="18">
        <v>15209.73</v>
      </c>
      <c r="W119" s="58">
        <f t="shared" si="96"/>
        <v>198112.37000000005</v>
      </c>
      <c r="X119" s="18">
        <v>15209.73</v>
      </c>
      <c r="Y119" s="58">
        <f t="shared" si="97"/>
        <v>213322.10000000006</v>
      </c>
      <c r="Z119" s="18">
        <v>1276208.77</v>
      </c>
      <c r="AA119" s="58">
        <f t="shared" si="98"/>
        <v>1489530.87</v>
      </c>
      <c r="AB119" s="18">
        <v>15209.69</v>
      </c>
      <c r="AC119" s="15">
        <f t="shared" si="99"/>
        <v>1504740.56</v>
      </c>
      <c r="AD119" s="15">
        <f t="shared" si="100"/>
        <v>0</v>
      </c>
      <c r="AE119" s="15"/>
    </row>
    <row r="120" spans="1:31" ht="15.75">
      <c r="A120" s="29"/>
      <c r="B120" s="8">
        <v>3341</v>
      </c>
      <c r="C120" s="8" t="s">
        <v>142</v>
      </c>
      <c r="D120" s="18">
        <v>5593484.09</v>
      </c>
      <c r="E120" s="286">
        <f>5593484.09-16000</f>
        <v>5577484.09</v>
      </c>
      <c r="F120" s="18">
        <v>0</v>
      </c>
      <c r="G120" s="58">
        <f t="shared" si="88"/>
        <v>0</v>
      </c>
      <c r="H120" s="18">
        <v>0</v>
      </c>
      <c r="I120" s="58">
        <f t="shared" si="89"/>
        <v>0</v>
      </c>
      <c r="J120" s="286">
        <f>82000-16000</f>
        <v>66000</v>
      </c>
      <c r="K120" s="58">
        <f t="shared" si="90"/>
        <v>66000</v>
      </c>
      <c r="L120" s="18">
        <v>208650</v>
      </c>
      <c r="M120" s="58">
        <f t="shared" si="91"/>
        <v>274650</v>
      </c>
      <c r="N120" s="18">
        <v>371200</v>
      </c>
      <c r="O120" s="58">
        <f t="shared" si="92"/>
        <v>645850</v>
      </c>
      <c r="P120" s="18">
        <v>198600</v>
      </c>
      <c r="Q120" s="58">
        <f t="shared" si="93"/>
        <v>844450</v>
      </c>
      <c r="R120" s="18">
        <v>110000</v>
      </c>
      <c r="S120" s="58">
        <f t="shared" si="94"/>
        <v>954450</v>
      </c>
      <c r="T120" s="18">
        <v>270840.39</v>
      </c>
      <c r="U120" s="58">
        <f t="shared" si="95"/>
        <v>1225290.3900000001</v>
      </c>
      <c r="V120" s="18">
        <v>185000</v>
      </c>
      <c r="W120" s="58">
        <f t="shared" si="96"/>
        <v>1410290.3900000001</v>
      </c>
      <c r="X120" s="18">
        <v>30000</v>
      </c>
      <c r="Y120" s="58">
        <f t="shared" si="97"/>
        <v>1440290.3900000001</v>
      </c>
      <c r="Z120" s="18">
        <v>4137193.7</v>
      </c>
      <c r="AA120" s="58">
        <f t="shared" si="98"/>
        <v>5577484.09</v>
      </c>
      <c r="AB120" s="18">
        <v>0</v>
      </c>
      <c r="AC120" s="15">
        <f t="shared" si="99"/>
        <v>5577484.09</v>
      </c>
      <c r="AD120" s="15">
        <f t="shared" si="100"/>
        <v>0</v>
      </c>
      <c r="AE120" s="15"/>
    </row>
    <row r="121" spans="1:31" ht="15">
      <c r="A121" s="29"/>
      <c r="B121" s="8">
        <v>3351</v>
      </c>
      <c r="C121" s="8" t="s">
        <v>143</v>
      </c>
      <c r="D121" s="18">
        <v>0</v>
      </c>
      <c r="E121" s="18">
        <v>0</v>
      </c>
      <c r="F121" s="18">
        <v>0</v>
      </c>
      <c r="G121" s="58">
        <f t="shared" si="88"/>
        <v>0</v>
      </c>
      <c r="H121" s="18">
        <v>0</v>
      </c>
      <c r="I121" s="58">
        <f t="shared" si="89"/>
        <v>0</v>
      </c>
      <c r="J121" s="18">
        <v>0</v>
      </c>
      <c r="K121" s="58">
        <f t="shared" si="90"/>
        <v>0</v>
      </c>
      <c r="L121" s="18">
        <v>0</v>
      </c>
      <c r="M121" s="58">
        <f t="shared" si="91"/>
        <v>0</v>
      </c>
      <c r="N121" s="18">
        <v>0</v>
      </c>
      <c r="O121" s="58">
        <f t="shared" si="92"/>
        <v>0</v>
      </c>
      <c r="P121" s="18">
        <v>0</v>
      </c>
      <c r="Q121" s="58">
        <f t="shared" si="93"/>
        <v>0</v>
      </c>
      <c r="R121" s="18">
        <v>0</v>
      </c>
      <c r="S121" s="58">
        <f t="shared" si="94"/>
        <v>0</v>
      </c>
      <c r="T121" s="18">
        <v>0</v>
      </c>
      <c r="U121" s="58">
        <f t="shared" si="95"/>
        <v>0</v>
      </c>
      <c r="V121" s="18">
        <v>0</v>
      </c>
      <c r="W121" s="58">
        <f t="shared" si="96"/>
        <v>0</v>
      </c>
      <c r="X121" s="18">
        <v>0</v>
      </c>
      <c r="Y121" s="58">
        <f t="shared" si="97"/>
        <v>0</v>
      </c>
      <c r="Z121" s="18">
        <v>0</v>
      </c>
      <c r="AA121" s="58">
        <f t="shared" si="98"/>
        <v>0</v>
      </c>
      <c r="AB121" s="18">
        <v>0</v>
      </c>
      <c r="AC121" s="15">
        <f t="shared" si="99"/>
        <v>0</v>
      </c>
      <c r="AD121" s="15">
        <f t="shared" si="100"/>
        <v>0</v>
      </c>
      <c r="AE121" s="15"/>
    </row>
    <row r="122" spans="1:31" ht="15.75">
      <c r="A122" s="29"/>
      <c r="B122" s="8">
        <v>3361</v>
      </c>
      <c r="C122" s="8" t="s">
        <v>144</v>
      </c>
      <c r="D122" s="18">
        <v>150000</v>
      </c>
      <c r="E122" s="286">
        <f>150000+696</f>
        <v>150696</v>
      </c>
      <c r="F122" s="18">
        <v>12500</v>
      </c>
      <c r="G122" s="58">
        <f t="shared" si="88"/>
        <v>12500</v>
      </c>
      <c r="H122" s="18">
        <v>12500</v>
      </c>
      <c r="I122" s="58">
        <f t="shared" si="89"/>
        <v>25000</v>
      </c>
      <c r="J122" s="286">
        <f>12500+696</f>
        <v>13196</v>
      </c>
      <c r="K122" s="58">
        <f t="shared" si="90"/>
        <v>38196</v>
      </c>
      <c r="L122" s="18">
        <v>12500</v>
      </c>
      <c r="M122" s="58">
        <f t="shared" si="91"/>
        <v>50696</v>
      </c>
      <c r="N122" s="18">
        <v>12500</v>
      </c>
      <c r="O122" s="58">
        <f t="shared" si="92"/>
        <v>63196</v>
      </c>
      <c r="P122" s="18">
        <v>12500</v>
      </c>
      <c r="Q122" s="58">
        <f t="shared" si="93"/>
        <v>75696</v>
      </c>
      <c r="R122" s="18">
        <v>12500</v>
      </c>
      <c r="S122" s="58">
        <f t="shared" si="94"/>
        <v>88196</v>
      </c>
      <c r="T122" s="18">
        <v>12500</v>
      </c>
      <c r="U122" s="58">
        <f t="shared" si="95"/>
        <v>100696</v>
      </c>
      <c r="V122" s="18">
        <v>12500</v>
      </c>
      <c r="W122" s="58">
        <f t="shared" si="96"/>
        <v>113196</v>
      </c>
      <c r="X122" s="18">
        <v>12500</v>
      </c>
      <c r="Y122" s="58">
        <f t="shared" si="97"/>
        <v>125696</v>
      </c>
      <c r="Z122" s="18">
        <v>12500</v>
      </c>
      <c r="AA122" s="58">
        <f t="shared" si="98"/>
        <v>138196</v>
      </c>
      <c r="AB122" s="18">
        <v>12500</v>
      </c>
      <c r="AC122" s="15">
        <f>+AA122+AB122</f>
        <v>150696</v>
      </c>
      <c r="AD122" s="15">
        <f t="shared" si="100"/>
        <v>0</v>
      </c>
      <c r="AE122" s="15"/>
    </row>
    <row r="123" spans="1:31" ht="15.75">
      <c r="A123" s="29"/>
      <c r="B123" s="8">
        <v>3362</v>
      </c>
      <c r="C123" s="8" t="s">
        <v>240</v>
      </c>
      <c r="D123" s="18">
        <v>1035948</v>
      </c>
      <c r="E123" s="286">
        <f>1035948-50000+81225-33000-16000</f>
        <v>1018173</v>
      </c>
      <c r="F123" s="18">
        <v>0</v>
      </c>
      <c r="G123" s="58">
        <f>+F123</f>
        <v>0</v>
      </c>
      <c r="H123" s="286">
        <f>65950-50000</f>
        <v>15950</v>
      </c>
      <c r="I123" s="58">
        <f>+G123+H123</f>
        <v>15950</v>
      </c>
      <c r="J123" s="286">
        <f>70000+81225-33000-16000</f>
        <v>102225</v>
      </c>
      <c r="K123" s="58">
        <f>+I123+J123</f>
        <v>118175</v>
      </c>
      <c r="L123" s="18">
        <v>50000</v>
      </c>
      <c r="M123" s="58">
        <f>+K123+L123</f>
        <v>168175</v>
      </c>
      <c r="N123" s="18">
        <v>50000</v>
      </c>
      <c r="O123" s="58">
        <f>+M123+N123</f>
        <v>218175</v>
      </c>
      <c r="P123" s="18">
        <v>0</v>
      </c>
      <c r="Q123" s="58">
        <f>+O123+P123</f>
        <v>218175</v>
      </c>
      <c r="R123" s="18">
        <v>120000</v>
      </c>
      <c r="S123" s="58">
        <f>+Q123+R123</f>
        <v>338175</v>
      </c>
      <c r="T123" s="18">
        <v>0</v>
      </c>
      <c r="U123" s="58">
        <f>+S123+T123</f>
        <v>338175</v>
      </c>
      <c r="V123" s="18">
        <v>0</v>
      </c>
      <c r="W123" s="58">
        <f>+U123+V123</f>
        <v>338175</v>
      </c>
      <c r="X123" s="18">
        <v>100000</v>
      </c>
      <c r="Y123" s="58">
        <f>+W123+X123</f>
        <v>438175</v>
      </c>
      <c r="Z123" s="18">
        <v>507260.72</v>
      </c>
      <c r="AA123" s="58">
        <f>+Y123+Z123</f>
        <v>945435.72</v>
      </c>
      <c r="AB123" s="18">
        <v>72737.28</v>
      </c>
      <c r="AC123" s="15">
        <f>+AA123+AB123</f>
        <v>1018173</v>
      </c>
      <c r="AD123" s="15">
        <f>+E123-AC123</f>
        <v>0</v>
      </c>
      <c r="AE123" s="15"/>
    </row>
    <row r="124" spans="1:31" ht="15">
      <c r="A124" s="29"/>
      <c r="B124" s="8">
        <v>3381</v>
      </c>
      <c r="C124" s="8" t="s">
        <v>145</v>
      </c>
      <c r="D124" s="18">
        <v>1249480.0799999998</v>
      </c>
      <c r="E124" s="18">
        <v>1249480.0799999998</v>
      </c>
      <c r="F124" s="18">
        <v>104123.34</v>
      </c>
      <c r="G124" s="58">
        <f t="shared" si="88"/>
        <v>104123.34</v>
      </c>
      <c r="H124" s="18">
        <v>104123.34</v>
      </c>
      <c r="I124" s="58">
        <f t="shared" si="89"/>
        <v>208246.68</v>
      </c>
      <c r="J124" s="18">
        <v>104123.34</v>
      </c>
      <c r="K124" s="58">
        <f t="shared" si="90"/>
        <v>312370.02</v>
      </c>
      <c r="L124" s="18">
        <v>104123.34</v>
      </c>
      <c r="M124" s="58">
        <f t="shared" si="91"/>
        <v>416493.36</v>
      </c>
      <c r="N124" s="18">
        <v>104123.34</v>
      </c>
      <c r="O124" s="58">
        <f t="shared" si="92"/>
        <v>520616.69999999995</v>
      </c>
      <c r="P124" s="18">
        <v>104123.34</v>
      </c>
      <c r="Q124" s="58">
        <f t="shared" si="93"/>
        <v>624740.0399999999</v>
      </c>
      <c r="R124" s="18">
        <v>104123.34</v>
      </c>
      <c r="S124" s="58">
        <f t="shared" si="94"/>
        <v>728863.3799999999</v>
      </c>
      <c r="T124" s="18">
        <v>104123.34</v>
      </c>
      <c r="U124" s="58">
        <f t="shared" si="95"/>
        <v>832986.7199999999</v>
      </c>
      <c r="V124" s="18">
        <v>104123.34</v>
      </c>
      <c r="W124" s="58">
        <f t="shared" si="96"/>
        <v>937110.0599999998</v>
      </c>
      <c r="X124" s="18">
        <v>104123.34</v>
      </c>
      <c r="Y124" s="58">
        <f t="shared" si="97"/>
        <v>1041233.3999999998</v>
      </c>
      <c r="Z124" s="18">
        <v>104123.34</v>
      </c>
      <c r="AA124" s="58">
        <f t="shared" si="98"/>
        <v>1145356.7399999998</v>
      </c>
      <c r="AB124" s="18">
        <v>104123.34</v>
      </c>
      <c r="AC124" s="15">
        <f t="shared" si="99"/>
        <v>1249480.0799999998</v>
      </c>
      <c r="AD124" s="15">
        <f t="shared" si="100"/>
        <v>0</v>
      </c>
      <c r="AE124" s="15"/>
    </row>
    <row r="125" spans="1:31" ht="15.75">
      <c r="A125" s="29"/>
      <c r="B125" s="8">
        <v>3391</v>
      </c>
      <c r="C125" s="8" t="s">
        <v>146</v>
      </c>
      <c r="D125" s="18">
        <v>0</v>
      </c>
      <c r="E125" s="286">
        <f>0+6000</f>
        <v>6000</v>
      </c>
      <c r="F125" s="18">
        <v>0</v>
      </c>
      <c r="G125" s="58">
        <f t="shared" si="88"/>
        <v>0</v>
      </c>
      <c r="H125" s="18">
        <v>0</v>
      </c>
      <c r="I125" s="58">
        <f t="shared" si="89"/>
        <v>0</v>
      </c>
      <c r="J125" s="286">
        <f>0+6000</f>
        <v>6000</v>
      </c>
      <c r="K125" s="58">
        <f t="shared" si="90"/>
        <v>6000</v>
      </c>
      <c r="L125" s="18">
        <v>0</v>
      </c>
      <c r="M125" s="58">
        <f t="shared" si="91"/>
        <v>6000</v>
      </c>
      <c r="N125" s="18">
        <v>0</v>
      </c>
      <c r="O125" s="58">
        <f t="shared" si="92"/>
        <v>6000</v>
      </c>
      <c r="P125" s="18">
        <v>0</v>
      </c>
      <c r="Q125" s="58">
        <f t="shared" si="93"/>
        <v>6000</v>
      </c>
      <c r="R125" s="18">
        <v>0</v>
      </c>
      <c r="S125" s="58">
        <f t="shared" si="94"/>
        <v>6000</v>
      </c>
      <c r="T125" s="18">
        <v>0</v>
      </c>
      <c r="U125" s="58">
        <f t="shared" si="95"/>
        <v>6000</v>
      </c>
      <c r="V125" s="18">
        <v>0</v>
      </c>
      <c r="W125" s="58">
        <f t="shared" si="96"/>
        <v>6000</v>
      </c>
      <c r="X125" s="18">
        <v>0</v>
      </c>
      <c r="Y125" s="58">
        <f t="shared" si="97"/>
        <v>6000</v>
      </c>
      <c r="Z125" s="18">
        <v>0</v>
      </c>
      <c r="AA125" s="58">
        <f t="shared" si="98"/>
        <v>6000</v>
      </c>
      <c r="AB125" s="18">
        <v>0</v>
      </c>
      <c r="AC125" s="15">
        <f t="shared" si="99"/>
        <v>6000</v>
      </c>
      <c r="AD125" s="15">
        <f t="shared" si="100"/>
        <v>0</v>
      </c>
      <c r="AE125" s="15"/>
    </row>
    <row r="126" spans="1:30" ht="15">
      <c r="A126" s="29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41"/>
    </row>
    <row r="127" spans="1:30" ht="15.75">
      <c r="A127" s="29"/>
      <c r="B127" s="69">
        <v>3400</v>
      </c>
      <c r="C127" s="67" t="s">
        <v>190</v>
      </c>
      <c r="D127" s="70">
        <f>SUM(D128:D132)</f>
        <v>368971.64</v>
      </c>
      <c r="E127" s="70">
        <f>SUM(E128:E132)</f>
        <v>370971.64</v>
      </c>
      <c r="F127" s="70">
        <f>SUM(F128:F132)</f>
        <v>30330.97</v>
      </c>
      <c r="G127" s="70">
        <f aca="true" t="shared" si="101" ref="G127:AC127">SUM(G128:G132)</f>
        <v>30330.97</v>
      </c>
      <c r="H127" s="70">
        <f>SUM(H128:H132)</f>
        <v>30330.97</v>
      </c>
      <c r="I127" s="70">
        <f t="shared" si="101"/>
        <v>60661.94</v>
      </c>
      <c r="J127" s="70">
        <f>SUM(J128:J132)</f>
        <v>37330.97</v>
      </c>
      <c r="K127" s="70">
        <f t="shared" si="101"/>
        <v>97992.91</v>
      </c>
      <c r="L127" s="70">
        <f>SUM(L128:L132)</f>
        <v>30330.97</v>
      </c>
      <c r="M127" s="70">
        <f t="shared" si="101"/>
        <v>128323.88</v>
      </c>
      <c r="N127" s="70">
        <f>SUM(N128:N132)</f>
        <v>30330.97</v>
      </c>
      <c r="O127" s="70">
        <f t="shared" si="101"/>
        <v>158654.85</v>
      </c>
      <c r="P127" s="70">
        <f>SUM(P128:P132)</f>
        <v>30330.97</v>
      </c>
      <c r="Q127" s="70">
        <f t="shared" si="101"/>
        <v>188985.82</v>
      </c>
      <c r="R127" s="70">
        <f>SUM(R128:R132)</f>
        <v>30330.97</v>
      </c>
      <c r="S127" s="70">
        <f t="shared" si="101"/>
        <v>219316.79</v>
      </c>
      <c r="T127" s="70">
        <f>SUM(T128:T132)</f>
        <v>30330.97</v>
      </c>
      <c r="U127" s="70">
        <f t="shared" si="101"/>
        <v>249647.76</v>
      </c>
      <c r="V127" s="70">
        <f>SUM(V128:V132)</f>
        <v>30330.97</v>
      </c>
      <c r="W127" s="70">
        <f t="shared" si="101"/>
        <v>279978.73</v>
      </c>
      <c r="X127" s="70">
        <f>SUM(X128:X132)</f>
        <v>30330.97</v>
      </c>
      <c r="Y127" s="70">
        <f t="shared" si="101"/>
        <v>310309.7</v>
      </c>
      <c r="Z127" s="70">
        <f>SUM(Z128:Z132)</f>
        <v>30330.97</v>
      </c>
      <c r="AA127" s="70">
        <f t="shared" si="101"/>
        <v>340640.67000000004</v>
      </c>
      <c r="AB127" s="70">
        <f>SUM(AB128:AB132)</f>
        <v>30330.97</v>
      </c>
      <c r="AC127" s="70">
        <f t="shared" si="101"/>
        <v>370971.64</v>
      </c>
      <c r="AD127" s="70">
        <f>SUM(AD128:AD132)</f>
        <v>0</v>
      </c>
    </row>
    <row r="128" spans="1:30" ht="15">
      <c r="A128" s="29"/>
      <c r="B128" s="57">
        <v>3411</v>
      </c>
      <c r="C128" s="26" t="s">
        <v>200</v>
      </c>
      <c r="D128" s="18">
        <v>60000</v>
      </c>
      <c r="E128" s="18">
        <v>60000</v>
      </c>
      <c r="F128" s="18">
        <v>5000</v>
      </c>
      <c r="G128" s="58">
        <f>+F128</f>
        <v>5000</v>
      </c>
      <c r="H128" s="18">
        <v>5000</v>
      </c>
      <c r="I128" s="58">
        <f>+G128+H128</f>
        <v>10000</v>
      </c>
      <c r="J128" s="18">
        <v>5000</v>
      </c>
      <c r="K128" s="58">
        <f>+I128+J128</f>
        <v>15000</v>
      </c>
      <c r="L128" s="18">
        <v>5000</v>
      </c>
      <c r="M128" s="58">
        <f>+K128+L128</f>
        <v>20000</v>
      </c>
      <c r="N128" s="18">
        <v>5000</v>
      </c>
      <c r="O128" s="58">
        <f>+M128+N128</f>
        <v>25000</v>
      </c>
      <c r="P128" s="18">
        <v>5000</v>
      </c>
      <c r="Q128" s="58">
        <f>+O128+P128</f>
        <v>30000</v>
      </c>
      <c r="R128" s="18">
        <v>5000</v>
      </c>
      <c r="S128" s="58">
        <f>+Q128+R128</f>
        <v>35000</v>
      </c>
      <c r="T128" s="18">
        <v>5000</v>
      </c>
      <c r="U128" s="58">
        <f>+S128+T128</f>
        <v>40000</v>
      </c>
      <c r="V128" s="18">
        <v>5000</v>
      </c>
      <c r="W128" s="58">
        <f>+U128+V128</f>
        <v>45000</v>
      </c>
      <c r="X128" s="18">
        <v>5000</v>
      </c>
      <c r="Y128" s="58">
        <f>+W128+X128</f>
        <v>50000</v>
      </c>
      <c r="Z128" s="18">
        <v>5000</v>
      </c>
      <c r="AA128" s="58">
        <f>+Y128+Z128</f>
        <v>55000</v>
      </c>
      <c r="AB128" s="18">
        <v>5000</v>
      </c>
      <c r="AC128" s="15">
        <f>+AA128+AB128</f>
        <v>60000</v>
      </c>
      <c r="AD128" s="15">
        <f>+E128-AC128</f>
        <v>0</v>
      </c>
    </row>
    <row r="129" spans="1:30" ht="15.75">
      <c r="A129" s="29"/>
      <c r="B129" s="57">
        <v>3441</v>
      </c>
      <c r="C129" s="26" t="s">
        <v>192</v>
      </c>
      <c r="D129" s="18">
        <v>5000</v>
      </c>
      <c r="E129" s="286">
        <f>5000+2000</f>
        <v>7000</v>
      </c>
      <c r="F129" s="18">
        <v>0</v>
      </c>
      <c r="G129" s="58">
        <f>+F129</f>
        <v>0</v>
      </c>
      <c r="H129" s="18">
        <v>0</v>
      </c>
      <c r="I129" s="58">
        <f>+G129+H129</f>
        <v>0</v>
      </c>
      <c r="J129" s="286">
        <f>5000+2000</f>
        <v>7000</v>
      </c>
      <c r="K129" s="58">
        <f>+I129+J129</f>
        <v>7000</v>
      </c>
      <c r="L129" s="18">
        <v>0</v>
      </c>
      <c r="M129" s="58">
        <f>+K129+L129</f>
        <v>7000</v>
      </c>
      <c r="N129" s="18">
        <v>0</v>
      </c>
      <c r="O129" s="58">
        <f>+M129+N129</f>
        <v>7000</v>
      </c>
      <c r="P129" s="18">
        <v>0</v>
      </c>
      <c r="Q129" s="58">
        <f>+O129+P129</f>
        <v>7000</v>
      </c>
      <c r="R129" s="18">
        <v>0</v>
      </c>
      <c r="S129" s="58">
        <f>+Q129+R129</f>
        <v>7000</v>
      </c>
      <c r="T129" s="18">
        <v>0</v>
      </c>
      <c r="U129" s="58">
        <f>+S129+T129</f>
        <v>7000</v>
      </c>
      <c r="V129" s="18">
        <v>0</v>
      </c>
      <c r="W129" s="58">
        <f>+U129+V129</f>
        <v>7000</v>
      </c>
      <c r="X129" s="18">
        <v>0</v>
      </c>
      <c r="Y129" s="58">
        <f>+W129+X129</f>
        <v>7000</v>
      </c>
      <c r="Z129" s="18">
        <v>0</v>
      </c>
      <c r="AA129" s="58">
        <f>+Y129+Z129</f>
        <v>7000</v>
      </c>
      <c r="AB129" s="18">
        <v>0</v>
      </c>
      <c r="AC129" s="15">
        <f>+AA129+AB129</f>
        <v>7000</v>
      </c>
      <c r="AD129" s="15">
        <f>+E129-AC129</f>
        <v>0</v>
      </c>
    </row>
    <row r="130" spans="1:30" ht="15">
      <c r="A130" s="29"/>
      <c r="B130" s="57">
        <v>3451</v>
      </c>
      <c r="C130" s="26" t="s">
        <v>147</v>
      </c>
      <c r="D130" s="18">
        <v>273971.64</v>
      </c>
      <c r="E130" s="18">
        <v>273971.64</v>
      </c>
      <c r="F130" s="18">
        <v>22830.97</v>
      </c>
      <c r="G130" s="58">
        <f>+F130</f>
        <v>22830.97</v>
      </c>
      <c r="H130" s="18">
        <v>22830.97</v>
      </c>
      <c r="I130" s="58">
        <f>+G130+H130</f>
        <v>45661.94</v>
      </c>
      <c r="J130" s="18">
        <v>22830.97</v>
      </c>
      <c r="K130" s="58">
        <f>+I130+J130</f>
        <v>68492.91</v>
      </c>
      <c r="L130" s="18">
        <v>22830.97</v>
      </c>
      <c r="M130" s="58">
        <f>+K130+L130</f>
        <v>91323.88</v>
      </c>
      <c r="N130" s="18">
        <v>22830.97</v>
      </c>
      <c r="O130" s="58">
        <f>+M130+N130</f>
        <v>114154.85</v>
      </c>
      <c r="P130" s="18">
        <v>22830.97</v>
      </c>
      <c r="Q130" s="58">
        <f>+O130+P130</f>
        <v>136985.82</v>
      </c>
      <c r="R130" s="18">
        <v>22830.97</v>
      </c>
      <c r="S130" s="58">
        <f>+Q130+R130</f>
        <v>159816.79</v>
      </c>
      <c r="T130" s="18">
        <v>22830.97</v>
      </c>
      <c r="U130" s="58">
        <f>+S130+T130</f>
        <v>182647.76</v>
      </c>
      <c r="V130" s="18">
        <v>22830.97</v>
      </c>
      <c r="W130" s="58">
        <f>+U130+V130</f>
        <v>205478.73</v>
      </c>
      <c r="X130" s="18">
        <v>22830.97</v>
      </c>
      <c r="Y130" s="58">
        <f>+W130+X130</f>
        <v>228309.7</v>
      </c>
      <c r="Z130" s="18">
        <v>22830.97</v>
      </c>
      <c r="AA130" s="58">
        <f>+Y130+Z130</f>
        <v>251140.67</v>
      </c>
      <c r="AB130" s="18">
        <v>22830.97</v>
      </c>
      <c r="AC130" s="15">
        <f>+AA130+AB130</f>
        <v>273971.64</v>
      </c>
      <c r="AD130" s="15">
        <f>+E130-AC130</f>
        <v>0</v>
      </c>
    </row>
    <row r="131" spans="1:31" ht="15">
      <c r="A131" s="29"/>
      <c r="B131" s="57">
        <v>3471</v>
      </c>
      <c r="C131" s="14" t="s">
        <v>87</v>
      </c>
      <c r="D131" s="18">
        <v>0</v>
      </c>
      <c r="E131" s="18">
        <v>0</v>
      </c>
      <c r="F131" s="18">
        <v>0</v>
      </c>
      <c r="G131" s="58">
        <f>+F131</f>
        <v>0</v>
      </c>
      <c r="H131" s="18">
        <v>0</v>
      </c>
      <c r="I131" s="58">
        <f>+G131+H131</f>
        <v>0</v>
      </c>
      <c r="J131" s="18">
        <v>0</v>
      </c>
      <c r="K131" s="58">
        <f>+I131+J131</f>
        <v>0</v>
      </c>
      <c r="L131" s="18">
        <v>0</v>
      </c>
      <c r="M131" s="58">
        <f>+K131+L131</f>
        <v>0</v>
      </c>
      <c r="N131" s="18">
        <v>0</v>
      </c>
      <c r="O131" s="58">
        <f>+M131+N131</f>
        <v>0</v>
      </c>
      <c r="P131" s="18">
        <v>0</v>
      </c>
      <c r="Q131" s="58">
        <f>+O131+P131</f>
        <v>0</v>
      </c>
      <c r="R131" s="18">
        <v>0</v>
      </c>
      <c r="S131" s="58">
        <f>+Q131+R131</f>
        <v>0</v>
      </c>
      <c r="T131" s="18">
        <v>0</v>
      </c>
      <c r="U131" s="58">
        <f>+S131+T131</f>
        <v>0</v>
      </c>
      <c r="V131" s="18">
        <v>0</v>
      </c>
      <c r="W131" s="58">
        <f>+U131+V131</f>
        <v>0</v>
      </c>
      <c r="X131" s="18">
        <v>0</v>
      </c>
      <c r="Y131" s="58">
        <f>+W131+X131</f>
        <v>0</v>
      </c>
      <c r="Z131" s="18">
        <v>0</v>
      </c>
      <c r="AA131" s="58">
        <f>+Y131+Z131</f>
        <v>0</v>
      </c>
      <c r="AB131" s="18">
        <v>0</v>
      </c>
      <c r="AC131" s="15">
        <f>+AA131+AB131</f>
        <v>0</v>
      </c>
      <c r="AD131" s="15">
        <f>+E131-AC131</f>
        <v>0</v>
      </c>
      <c r="AE131" s="15"/>
    </row>
    <row r="132" spans="1:30" ht="15">
      <c r="A132" s="29"/>
      <c r="B132" s="57">
        <v>3499</v>
      </c>
      <c r="C132" s="14" t="s">
        <v>148</v>
      </c>
      <c r="D132" s="18">
        <v>30000</v>
      </c>
      <c r="E132" s="18">
        <v>30000</v>
      </c>
      <c r="F132" s="18">
        <v>2500</v>
      </c>
      <c r="G132" s="58">
        <f>+F132</f>
        <v>2500</v>
      </c>
      <c r="H132" s="18">
        <v>2500</v>
      </c>
      <c r="I132" s="58">
        <f>+G132+H132</f>
        <v>5000</v>
      </c>
      <c r="J132" s="18">
        <v>2500</v>
      </c>
      <c r="K132" s="58">
        <f>+I132+J132</f>
        <v>7500</v>
      </c>
      <c r="L132" s="18">
        <v>2500</v>
      </c>
      <c r="M132" s="58">
        <f>+K132+L132</f>
        <v>10000</v>
      </c>
      <c r="N132" s="18">
        <v>2500</v>
      </c>
      <c r="O132" s="58">
        <f>+M132+N132</f>
        <v>12500</v>
      </c>
      <c r="P132" s="18">
        <v>2500</v>
      </c>
      <c r="Q132" s="58">
        <f>+O132+P132</f>
        <v>15000</v>
      </c>
      <c r="R132" s="18">
        <v>2500</v>
      </c>
      <c r="S132" s="58">
        <f>+Q132+R132</f>
        <v>17500</v>
      </c>
      <c r="T132" s="18">
        <v>2500</v>
      </c>
      <c r="U132" s="58">
        <f>+S132+T132</f>
        <v>20000</v>
      </c>
      <c r="V132" s="18">
        <v>2500</v>
      </c>
      <c r="W132" s="58">
        <f>+U132+V132</f>
        <v>22500</v>
      </c>
      <c r="X132" s="18">
        <v>2500</v>
      </c>
      <c r="Y132" s="58">
        <f>+W132+X132</f>
        <v>25000</v>
      </c>
      <c r="Z132" s="18">
        <v>2500</v>
      </c>
      <c r="AA132" s="58">
        <f>+Y132+Z132</f>
        <v>27500</v>
      </c>
      <c r="AB132" s="18">
        <v>2500</v>
      </c>
      <c r="AC132" s="15">
        <f>+AA132+AB132</f>
        <v>30000</v>
      </c>
      <c r="AD132" s="15">
        <f>+E132-AC132</f>
        <v>0</v>
      </c>
    </row>
    <row r="133" spans="1:30" ht="15.75">
      <c r="A133" s="29"/>
      <c r="B133" s="83"/>
      <c r="C133" s="26"/>
      <c r="D133" s="19"/>
      <c r="E133" s="19"/>
      <c r="F133" s="19"/>
      <c r="G133" s="15"/>
      <c r="H133" s="19"/>
      <c r="I133" s="15"/>
      <c r="J133" s="19"/>
      <c r="K133" s="15"/>
      <c r="L133" s="19"/>
      <c r="M133" s="15"/>
      <c r="N133" s="19"/>
      <c r="O133" s="15"/>
      <c r="P133" s="19"/>
      <c r="Q133" s="15"/>
      <c r="R133" s="19"/>
      <c r="S133" s="15"/>
      <c r="T133" s="19"/>
      <c r="U133" s="15"/>
      <c r="V133" s="19"/>
      <c r="W133" s="15"/>
      <c r="X133" s="19"/>
      <c r="Y133" s="15"/>
      <c r="Z133" s="19"/>
      <c r="AA133" s="15"/>
      <c r="AB133" s="19"/>
      <c r="AC133" s="15"/>
      <c r="AD133" s="41"/>
    </row>
    <row r="134" spans="1:30" ht="15.75">
      <c r="A134" s="29"/>
      <c r="B134" s="69">
        <v>3500</v>
      </c>
      <c r="C134" s="67" t="s">
        <v>150</v>
      </c>
      <c r="D134" s="70">
        <f>SUM(D135:D141)</f>
        <v>4209043.45</v>
      </c>
      <c r="E134" s="70">
        <f>SUM(E135:E141)</f>
        <v>4209043.45</v>
      </c>
      <c r="F134" s="70">
        <f>SUM(F135:F141)</f>
        <v>1217882.9300000002</v>
      </c>
      <c r="G134" s="70">
        <f aca="true" t="shared" si="102" ref="G134:AC134">SUM(G135:G141)</f>
        <v>1217882.9300000002</v>
      </c>
      <c r="H134" s="70">
        <f>SUM(H135:H141)</f>
        <v>346750.95</v>
      </c>
      <c r="I134" s="70">
        <f t="shared" si="102"/>
        <v>1564633.88</v>
      </c>
      <c r="J134" s="70">
        <f>SUM(J135:J141)</f>
        <v>212130.95</v>
      </c>
      <c r="K134" s="70">
        <f t="shared" si="102"/>
        <v>1776764.83</v>
      </c>
      <c r="L134" s="70">
        <f>SUM(L135:L141)</f>
        <v>216750.95</v>
      </c>
      <c r="M134" s="70">
        <f t="shared" si="102"/>
        <v>1993515.7800000003</v>
      </c>
      <c r="N134" s="70">
        <f>SUM(N135:N141)</f>
        <v>212130.95</v>
      </c>
      <c r="O134" s="70">
        <f t="shared" si="102"/>
        <v>2205646.73</v>
      </c>
      <c r="P134" s="70">
        <f>SUM(P135:P141)</f>
        <v>216750.95</v>
      </c>
      <c r="Q134" s="70">
        <f t="shared" si="102"/>
        <v>2422397.68</v>
      </c>
      <c r="R134" s="70">
        <f>SUM(R135:R141)</f>
        <v>212130.95</v>
      </c>
      <c r="S134" s="70">
        <f t="shared" si="102"/>
        <v>2634528.6300000004</v>
      </c>
      <c r="T134" s="70">
        <f>SUM(T135:T141)</f>
        <v>216750.95</v>
      </c>
      <c r="U134" s="70">
        <f t="shared" si="102"/>
        <v>2851279.5800000005</v>
      </c>
      <c r="V134" s="70">
        <f>SUM(V135:V141)</f>
        <v>212130.95</v>
      </c>
      <c r="W134" s="70">
        <f t="shared" si="102"/>
        <v>3063410.5300000003</v>
      </c>
      <c r="X134" s="70">
        <f>SUM(X135:X141)</f>
        <v>216750.95</v>
      </c>
      <c r="Y134" s="70">
        <f t="shared" si="102"/>
        <v>3280161.48</v>
      </c>
      <c r="Z134" s="70">
        <f>SUM(Z135:Z141)</f>
        <v>343657.43</v>
      </c>
      <c r="AA134" s="70">
        <f t="shared" si="102"/>
        <v>3623818.91</v>
      </c>
      <c r="AB134" s="70">
        <f>SUM(AB135:AB141)</f>
        <v>585224.54</v>
      </c>
      <c r="AC134" s="70">
        <f t="shared" si="102"/>
        <v>4209043.45</v>
      </c>
      <c r="AD134" s="70">
        <f>SUM(AD135:AD141)</f>
        <v>0</v>
      </c>
    </row>
    <row r="135" spans="1:31" ht="15">
      <c r="A135" s="29"/>
      <c r="B135" s="81">
        <v>3511</v>
      </c>
      <c r="C135" s="26" t="s">
        <v>151</v>
      </c>
      <c r="D135" s="18">
        <v>129204</v>
      </c>
      <c r="E135" s="18">
        <v>129204</v>
      </c>
      <c r="F135" s="18">
        <v>10767</v>
      </c>
      <c r="G135" s="58">
        <f aca="true" t="shared" si="103" ref="G135:G141">+F135</f>
        <v>10767</v>
      </c>
      <c r="H135" s="18">
        <v>10767</v>
      </c>
      <c r="I135" s="58">
        <f aca="true" t="shared" si="104" ref="I135:I141">+G135+H135</f>
        <v>21534</v>
      </c>
      <c r="J135" s="18">
        <v>10767</v>
      </c>
      <c r="K135" s="58">
        <f aca="true" t="shared" si="105" ref="K135:K141">+I135+J135</f>
        <v>32301</v>
      </c>
      <c r="L135" s="18">
        <v>10767</v>
      </c>
      <c r="M135" s="58">
        <f aca="true" t="shared" si="106" ref="M135:M141">+K135+L135</f>
        <v>43068</v>
      </c>
      <c r="N135" s="18">
        <v>10767</v>
      </c>
      <c r="O135" s="58">
        <f aca="true" t="shared" si="107" ref="O135:O141">+M135+N135</f>
        <v>53835</v>
      </c>
      <c r="P135" s="18">
        <v>10767</v>
      </c>
      <c r="Q135" s="58">
        <f aca="true" t="shared" si="108" ref="Q135:Q141">+O135+P135</f>
        <v>64602</v>
      </c>
      <c r="R135" s="18">
        <v>10767</v>
      </c>
      <c r="S135" s="58">
        <f aca="true" t="shared" si="109" ref="S135:S141">+Q135+R135</f>
        <v>75369</v>
      </c>
      <c r="T135" s="18">
        <v>10767</v>
      </c>
      <c r="U135" s="58">
        <f aca="true" t="shared" si="110" ref="U135:U141">+S135+T135</f>
        <v>86136</v>
      </c>
      <c r="V135" s="18">
        <v>10767</v>
      </c>
      <c r="W135" s="58">
        <f aca="true" t="shared" si="111" ref="W135:W141">+U135+V135</f>
        <v>96903</v>
      </c>
      <c r="X135" s="18">
        <v>10767</v>
      </c>
      <c r="Y135" s="58">
        <f aca="true" t="shared" si="112" ref="Y135:Y141">+W135+X135</f>
        <v>107670</v>
      </c>
      <c r="Z135" s="18">
        <v>10767</v>
      </c>
      <c r="AA135" s="58">
        <f aca="true" t="shared" si="113" ref="AA135:AA141">+Y135+Z135</f>
        <v>118437</v>
      </c>
      <c r="AB135" s="18">
        <v>10767</v>
      </c>
      <c r="AC135" s="15">
        <f aca="true" t="shared" si="114" ref="AC135:AC141">+AA135+AB135</f>
        <v>129204</v>
      </c>
      <c r="AD135" s="15">
        <f aca="true" t="shared" si="115" ref="AD135:AD141">+E135-AC135</f>
        <v>0</v>
      </c>
      <c r="AE135" s="15"/>
    </row>
    <row r="136" spans="1:30" ht="15">
      <c r="A136" s="29"/>
      <c r="B136" s="57">
        <v>3521</v>
      </c>
      <c r="C136" s="14" t="s">
        <v>152</v>
      </c>
      <c r="D136" s="18">
        <v>330000</v>
      </c>
      <c r="E136" s="18">
        <v>330000</v>
      </c>
      <c r="F136" s="18">
        <v>0</v>
      </c>
      <c r="G136" s="58">
        <f t="shared" si="103"/>
        <v>0</v>
      </c>
      <c r="H136" s="18">
        <v>130000</v>
      </c>
      <c r="I136" s="58">
        <f t="shared" si="104"/>
        <v>130000</v>
      </c>
      <c r="J136" s="18">
        <v>0</v>
      </c>
      <c r="K136" s="58">
        <f t="shared" si="105"/>
        <v>130000</v>
      </c>
      <c r="L136" s="18">
        <v>0</v>
      </c>
      <c r="M136" s="58">
        <f t="shared" si="106"/>
        <v>130000</v>
      </c>
      <c r="N136" s="18">
        <v>0</v>
      </c>
      <c r="O136" s="58">
        <f t="shared" si="107"/>
        <v>130000</v>
      </c>
      <c r="P136" s="18">
        <v>0</v>
      </c>
      <c r="Q136" s="58">
        <f t="shared" si="108"/>
        <v>130000</v>
      </c>
      <c r="R136" s="18">
        <v>0</v>
      </c>
      <c r="S136" s="58">
        <f t="shared" si="109"/>
        <v>130000</v>
      </c>
      <c r="T136" s="18">
        <v>0</v>
      </c>
      <c r="U136" s="58">
        <f t="shared" si="110"/>
        <v>130000</v>
      </c>
      <c r="V136" s="18">
        <v>0</v>
      </c>
      <c r="W136" s="58">
        <f t="shared" si="111"/>
        <v>130000</v>
      </c>
      <c r="X136" s="18">
        <v>0</v>
      </c>
      <c r="Y136" s="58">
        <f t="shared" si="112"/>
        <v>130000</v>
      </c>
      <c r="Z136" s="18">
        <v>131526.48</v>
      </c>
      <c r="AA136" s="58">
        <f t="shared" si="113"/>
        <v>261526.48</v>
      </c>
      <c r="AB136" s="18">
        <v>68473.52</v>
      </c>
      <c r="AC136" s="15">
        <f t="shared" si="114"/>
        <v>330000</v>
      </c>
      <c r="AD136" s="15">
        <f t="shared" si="115"/>
        <v>0</v>
      </c>
    </row>
    <row r="137" spans="1:30" ht="15">
      <c r="A137" s="29"/>
      <c r="B137" s="57">
        <v>3531</v>
      </c>
      <c r="C137" s="14" t="s">
        <v>153</v>
      </c>
      <c r="D137" s="18">
        <v>2077455.7400000005</v>
      </c>
      <c r="E137" s="18">
        <v>2077455.7400000005</v>
      </c>
      <c r="F137" s="18">
        <v>941314.79</v>
      </c>
      <c r="G137" s="58">
        <f t="shared" si="103"/>
        <v>941314.79</v>
      </c>
      <c r="H137" s="18">
        <v>103285.54000000001</v>
      </c>
      <c r="I137" s="58">
        <f t="shared" si="104"/>
        <v>1044600.3300000001</v>
      </c>
      <c r="J137" s="18">
        <v>103285.54000000001</v>
      </c>
      <c r="K137" s="58">
        <f t="shared" si="105"/>
        <v>1147885.87</v>
      </c>
      <c r="L137" s="18">
        <v>103285.54000000001</v>
      </c>
      <c r="M137" s="58">
        <f t="shared" si="106"/>
        <v>1251171.4100000001</v>
      </c>
      <c r="N137" s="18">
        <v>103285.54000000001</v>
      </c>
      <c r="O137" s="58">
        <f t="shared" si="107"/>
        <v>1354456.9500000002</v>
      </c>
      <c r="P137" s="18">
        <v>103285.54000000001</v>
      </c>
      <c r="Q137" s="58">
        <f t="shared" si="108"/>
        <v>1457742.4900000002</v>
      </c>
      <c r="R137" s="18">
        <v>103285.54000000001</v>
      </c>
      <c r="S137" s="58">
        <f t="shared" si="109"/>
        <v>1561028.0300000003</v>
      </c>
      <c r="T137" s="18">
        <v>103285.54000000001</v>
      </c>
      <c r="U137" s="58">
        <f t="shared" si="110"/>
        <v>1664313.5700000003</v>
      </c>
      <c r="V137" s="18">
        <v>103285.54000000001</v>
      </c>
      <c r="W137" s="58">
        <f t="shared" si="111"/>
        <v>1767599.1100000003</v>
      </c>
      <c r="X137" s="18">
        <v>103285.54000000001</v>
      </c>
      <c r="Y137" s="58">
        <f t="shared" si="112"/>
        <v>1870884.6500000004</v>
      </c>
      <c r="Z137" s="18">
        <v>103285.54000000001</v>
      </c>
      <c r="AA137" s="58">
        <f t="shared" si="113"/>
        <v>1974170.1900000004</v>
      </c>
      <c r="AB137" s="18">
        <v>103285.54999999999</v>
      </c>
      <c r="AC137" s="15">
        <f>+AA137+AB137</f>
        <v>2077455.7400000005</v>
      </c>
      <c r="AD137" s="15">
        <f t="shared" si="115"/>
        <v>0</v>
      </c>
    </row>
    <row r="138" spans="1:31" ht="15">
      <c r="A138" s="29"/>
      <c r="B138" s="57">
        <v>3553</v>
      </c>
      <c r="C138" s="14" t="s">
        <v>193</v>
      </c>
      <c r="D138" s="18">
        <v>150000</v>
      </c>
      <c r="E138" s="18">
        <v>150000</v>
      </c>
      <c r="F138" s="18">
        <v>150000</v>
      </c>
      <c r="G138" s="58">
        <f t="shared" si="103"/>
        <v>150000</v>
      </c>
      <c r="H138" s="18">
        <v>0</v>
      </c>
      <c r="I138" s="58">
        <f t="shared" si="104"/>
        <v>150000</v>
      </c>
      <c r="J138" s="18">
        <v>0</v>
      </c>
      <c r="K138" s="58">
        <f t="shared" si="105"/>
        <v>150000</v>
      </c>
      <c r="L138" s="18">
        <v>0</v>
      </c>
      <c r="M138" s="58">
        <f t="shared" si="106"/>
        <v>150000</v>
      </c>
      <c r="N138" s="18">
        <v>0</v>
      </c>
      <c r="O138" s="58">
        <f t="shared" si="107"/>
        <v>150000</v>
      </c>
      <c r="P138" s="18">
        <v>0</v>
      </c>
      <c r="Q138" s="58">
        <f t="shared" si="108"/>
        <v>150000</v>
      </c>
      <c r="R138" s="18">
        <v>0</v>
      </c>
      <c r="S138" s="58">
        <f t="shared" si="109"/>
        <v>150000</v>
      </c>
      <c r="T138" s="18">
        <v>0</v>
      </c>
      <c r="U138" s="58">
        <f t="shared" si="110"/>
        <v>150000</v>
      </c>
      <c r="V138" s="18">
        <v>0</v>
      </c>
      <c r="W138" s="58">
        <f t="shared" si="111"/>
        <v>150000</v>
      </c>
      <c r="X138" s="18">
        <v>0</v>
      </c>
      <c r="Y138" s="58">
        <f t="shared" si="112"/>
        <v>150000</v>
      </c>
      <c r="Z138" s="18">
        <v>0</v>
      </c>
      <c r="AA138" s="58">
        <f t="shared" si="113"/>
        <v>150000</v>
      </c>
      <c r="AB138" s="18">
        <v>0</v>
      </c>
      <c r="AC138" s="15">
        <f t="shared" si="114"/>
        <v>150000</v>
      </c>
      <c r="AD138" s="15">
        <f t="shared" si="115"/>
        <v>0</v>
      </c>
      <c r="AE138" s="15"/>
    </row>
    <row r="139" spans="1:31" ht="15">
      <c r="A139" s="29"/>
      <c r="B139" s="57">
        <v>3571</v>
      </c>
      <c r="C139" s="14" t="s">
        <v>204</v>
      </c>
      <c r="D139" s="18">
        <v>508832.73</v>
      </c>
      <c r="E139" s="18">
        <v>508832.73</v>
      </c>
      <c r="F139" s="18">
        <v>33648.56</v>
      </c>
      <c r="G139" s="58">
        <f t="shared" si="103"/>
        <v>33648.56</v>
      </c>
      <c r="H139" s="18">
        <v>15925.83</v>
      </c>
      <c r="I139" s="58">
        <f t="shared" si="104"/>
        <v>49574.39</v>
      </c>
      <c r="J139" s="18">
        <v>15925.83</v>
      </c>
      <c r="K139" s="58">
        <f t="shared" si="105"/>
        <v>65500.22</v>
      </c>
      <c r="L139" s="18">
        <v>15925.83</v>
      </c>
      <c r="M139" s="58">
        <f t="shared" si="106"/>
        <v>81426.05</v>
      </c>
      <c r="N139" s="18">
        <v>15925.83</v>
      </c>
      <c r="O139" s="58">
        <f t="shared" si="107"/>
        <v>97351.88</v>
      </c>
      <c r="P139" s="18">
        <v>15925.83</v>
      </c>
      <c r="Q139" s="58">
        <f t="shared" si="108"/>
        <v>113277.71</v>
      </c>
      <c r="R139" s="18">
        <v>15925.83</v>
      </c>
      <c r="S139" s="58">
        <f t="shared" si="109"/>
        <v>129203.54000000001</v>
      </c>
      <c r="T139" s="18">
        <v>15925.83</v>
      </c>
      <c r="U139" s="58">
        <f t="shared" si="110"/>
        <v>145129.37</v>
      </c>
      <c r="V139" s="18">
        <v>15925.83</v>
      </c>
      <c r="W139" s="58">
        <f t="shared" si="111"/>
        <v>161055.19999999998</v>
      </c>
      <c r="X139" s="18">
        <v>15925.83</v>
      </c>
      <c r="Y139" s="58">
        <f t="shared" si="112"/>
        <v>176981.02999999997</v>
      </c>
      <c r="Z139" s="18">
        <v>15925.83</v>
      </c>
      <c r="AA139" s="58">
        <f t="shared" si="113"/>
        <v>192906.85999999996</v>
      </c>
      <c r="AB139" s="18">
        <v>315925.87</v>
      </c>
      <c r="AC139" s="15">
        <f>+AA139+AB139</f>
        <v>508832.73</v>
      </c>
      <c r="AD139" s="15">
        <f t="shared" si="115"/>
        <v>0</v>
      </c>
      <c r="AE139" s="15"/>
    </row>
    <row r="140" spans="1:30" ht="15">
      <c r="A140" s="29"/>
      <c r="B140" s="81">
        <v>3581</v>
      </c>
      <c r="C140" s="14" t="s">
        <v>154</v>
      </c>
      <c r="D140" s="18">
        <v>985830.9799999999</v>
      </c>
      <c r="E140" s="18">
        <v>985830.9799999999</v>
      </c>
      <c r="F140" s="18">
        <v>82152.58</v>
      </c>
      <c r="G140" s="58">
        <f t="shared" si="103"/>
        <v>82152.58</v>
      </c>
      <c r="H140" s="18">
        <v>82152.58</v>
      </c>
      <c r="I140" s="58">
        <f t="shared" si="104"/>
        <v>164305.16</v>
      </c>
      <c r="J140" s="18">
        <v>82152.58</v>
      </c>
      <c r="K140" s="58">
        <f t="shared" si="105"/>
        <v>246457.74</v>
      </c>
      <c r="L140" s="18">
        <v>82152.58</v>
      </c>
      <c r="M140" s="58">
        <f t="shared" si="106"/>
        <v>328610.32</v>
      </c>
      <c r="N140" s="18">
        <v>82152.58</v>
      </c>
      <c r="O140" s="58">
        <f t="shared" si="107"/>
        <v>410762.9</v>
      </c>
      <c r="P140" s="18">
        <v>82152.58</v>
      </c>
      <c r="Q140" s="58">
        <f t="shared" si="108"/>
        <v>492915.48000000004</v>
      </c>
      <c r="R140" s="18">
        <v>82152.58</v>
      </c>
      <c r="S140" s="58">
        <f t="shared" si="109"/>
        <v>575068.06</v>
      </c>
      <c r="T140" s="18">
        <v>82152.58</v>
      </c>
      <c r="U140" s="58">
        <f t="shared" si="110"/>
        <v>657220.64</v>
      </c>
      <c r="V140" s="18">
        <v>82152.58</v>
      </c>
      <c r="W140" s="58">
        <f t="shared" si="111"/>
        <v>739373.22</v>
      </c>
      <c r="X140" s="18">
        <v>82152.58</v>
      </c>
      <c r="Y140" s="58">
        <f t="shared" si="112"/>
        <v>821525.7999999999</v>
      </c>
      <c r="Z140" s="18">
        <v>82152.58</v>
      </c>
      <c r="AA140" s="58">
        <f t="shared" si="113"/>
        <v>903678.3799999999</v>
      </c>
      <c r="AB140" s="18">
        <v>82152.6</v>
      </c>
      <c r="AC140" s="15">
        <f t="shared" si="114"/>
        <v>985830.9799999999</v>
      </c>
      <c r="AD140" s="15">
        <f t="shared" si="115"/>
        <v>0</v>
      </c>
    </row>
    <row r="141" spans="1:31" ht="15">
      <c r="A141" s="29"/>
      <c r="B141" s="78">
        <v>3591</v>
      </c>
      <c r="C141" s="8" t="s">
        <v>155</v>
      </c>
      <c r="D141" s="18">
        <v>27720</v>
      </c>
      <c r="E141" s="18">
        <v>27720</v>
      </c>
      <c r="F141" s="18">
        <v>0</v>
      </c>
      <c r="G141" s="58">
        <f t="shared" si="103"/>
        <v>0</v>
      </c>
      <c r="H141" s="18">
        <v>4620</v>
      </c>
      <c r="I141" s="58">
        <f t="shared" si="104"/>
        <v>4620</v>
      </c>
      <c r="J141" s="18">
        <v>0</v>
      </c>
      <c r="K141" s="58">
        <f t="shared" si="105"/>
        <v>4620</v>
      </c>
      <c r="L141" s="18">
        <v>4620</v>
      </c>
      <c r="M141" s="58">
        <f t="shared" si="106"/>
        <v>9240</v>
      </c>
      <c r="N141" s="18">
        <v>0</v>
      </c>
      <c r="O141" s="58">
        <f t="shared" si="107"/>
        <v>9240</v>
      </c>
      <c r="P141" s="18">
        <v>4620</v>
      </c>
      <c r="Q141" s="58">
        <f t="shared" si="108"/>
        <v>13860</v>
      </c>
      <c r="R141" s="18">
        <v>0</v>
      </c>
      <c r="S141" s="58">
        <f t="shared" si="109"/>
        <v>13860</v>
      </c>
      <c r="T141" s="18">
        <v>4620</v>
      </c>
      <c r="U141" s="58">
        <f t="shared" si="110"/>
        <v>18480</v>
      </c>
      <c r="V141" s="18">
        <v>0</v>
      </c>
      <c r="W141" s="58">
        <f t="shared" si="111"/>
        <v>18480</v>
      </c>
      <c r="X141" s="18">
        <v>4620</v>
      </c>
      <c r="Y141" s="58">
        <f t="shared" si="112"/>
        <v>23100</v>
      </c>
      <c r="Z141" s="18">
        <v>0</v>
      </c>
      <c r="AA141" s="58">
        <f t="shared" si="113"/>
        <v>23100</v>
      </c>
      <c r="AB141" s="18">
        <v>4620</v>
      </c>
      <c r="AC141" s="15">
        <f t="shared" si="114"/>
        <v>27720</v>
      </c>
      <c r="AD141" s="15">
        <f t="shared" si="115"/>
        <v>0</v>
      </c>
      <c r="AE141" s="15"/>
    </row>
    <row r="142" spans="1:30" ht="15">
      <c r="A142" s="29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41"/>
    </row>
    <row r="143" spans="1:30" ht="15.75">
      <c r="A143" s="29"/>
      <c r="B143" s="69">
        <v>3600</v>
      </c>
      <c r="C143" s="67" t="s">
        <v>156</v>
      </c>
      <c r="D143" s="70">
        <f>SUM(D144:D146)</f>
        <v>6305512.24</v>
      </c>
      <c r="E143" s="70">
        <f>SUM(E144:E146)</f>
        <v>6305512.24</v>
      </c>
      <c r="F143" s="70">
        <f>SUM(F144:F146)</f>
        <v>57828.32</v>
      </c>
      <c r="G143" s="70">
        <f aca="true" t="shared" si="116" ref="G143:AC143">SUM(G144:G146)</f>
        <v>57828.32</v>
      </c>
      <c r="H143" s="70">
        <f>SUM(H144:H146)</f>
        <v>57828.32</v>
      </c>
      <c r="I143" s="70">
        <f t="shared" si="116"/>
        <v>115656.64</v>
      </c>
      <c r="J143" s="70">
        <f>SUM(J144:J146)</f>
        <v>57828.32</v>
      </c>
      <c r="K143" s="70">
        <f t="shared" si="116"/>
        <v>173484.96</v>
      </c>
      <c r="L143" s="70">
        <f>SUM(L144:L146)</f>
        <v>307828.32</v>
      </c>
      <c r="M143" s="70">
        <f t="shared" si="116"/>
        <v>481313.28</v>
      </c>
      <c r="N143" s="70">
        <f>SUM(N144:N146)</f>
        <v>97828.32</v>
      </c>
      <c r="O143" s="70">
        <f t="shared" si="116"/>
        <v>579141.6</v>
      </c>
      <c r="P143" s="70">
        <f>SUM(P144:P146)</f>
        <v>57828.32</v>
      </c>
      <c r="Q143" s="70">
        <f t="shared" si="116"/>
        <v>636969.92</v>
      </c>
      <c r="R143" s="70">
        <f>SUM(R144:R146)</f>
        <v>347828.32</v>
      </c>
      <c r="S143" s="70">
        <f t="shared" si="116"/>
        <v>984798.24</v>
      </c>
      <c r="T143" s="70">
        <f>SUM(T144:T146)</f>
        <v>57828.32</v>
      </c>
      <c r="U143" s="70">
        <f t="shared" si="116"/>
        <v>1042626.56</v>
      </c>
      <c r="V143" s="70">
        <f>SUM(V144:V146)</f>
        <v>57828.32</v>
      </c>
      <c r="W143" s="70">
        <f t="shared" si="116"/>
        <v>1100454.8800000001</v>
      </c>
      <c r="X143" s="70">
        <f>SUM(X144:X146)</f>
        <v>89400.72</v>
      </c>
      <c r="Y143" s="70">
        <f t="shared" si="116"/>
        <v>1189855.6</v>
      </c>
      <c r="Z143" s="70">
        <f>SUM(Z144:Z146)</f>
        <v>57828.32</v>
      </c>
      <c r="AA143" s="70">
        <f t="shared" si="116"/>
        <v>1247683.92</v>
      </c>
      <c r="AB143" s="70">
        <f>SUM(AB144:AB146)</f>
        <v>5057828.32</v>
      </c>
      <c r="AC143" s="70">
        <f t="shared" si="116"/>
        <v>6305512.24</v>
      </c>
      <c r="AD143" s="70">
        <f>SUM(AD144:AD146)</f>
        <v>0</v>
      </c>
    </row>
    <row r="144" spans="1:30" ht="15">
      <c r="A144" s="29"/>
      <c r="B144" s="57">
        <v>3611</v>
      </c>
      <c r="C144" s="14" t="s">
        <v>235</v>
      </c>
      <c r="D144" s="18">
        <v>6001332.4</v>
      </c>
      <c r="E144" s="18">
        <v>6001332.4</v>
      </c>
      <c r="F144" s="18">
        <v>32480</v>
      </c>
      <c r="G144" s="58">
        <f>+F144</f>
        <v>32480</v>
      </c>
      <c r="H144" s="18">
        <v>32480</v>
      </c>
      <c r="I144" s="58">
        <f>+G144+H144</f>
        <v>64960</v>
      </c>
      <c r="J144" s="18">
        <v>32480</v>
      </c>
      <c r="K144" s="58">
        <f>+I144+J144</f>
        <v>97440</v>
      </c>
      <c r="L144" s="18">
        <v>282480</v>
      </c>
      <c r="M144" s="58">
        <f>+K144+L144</f>
        <v>379920</v>
      </c>
      <c r="N144" s="18">
        <v>72480</v>
      </c>
      <c r="O144" s="58">
        <f>+M144+N144</f>
        <v>452400</v>
      </c>
      <c r="P144" s="18">
        <v>32480</v>
      </c>
      <c r="Q144" s="58">
        <f>+O144+P144</f>
        <v>484880</v>
      </c>
      <c r="R144" s="18">
        <v>322480</v>
      </c>
      <c r="S144" s="58">
        <f>+Q144+R144</f>
        <v>807360</v>
      </c>
      <c r="T144" s="18">
        <v>32480</v>
      </c>
      <c r="U144" s="58">
        <f>+S144+T144</f>
        <v>839840</v>
      </c>
      <c r="V144" s="18">
        <v>32480</v>
      </c>
      <c r="W144" s="58">
        <f>+U144+V144</f>
        <v>872320</v>
      </c>
      <c r="X144" s="18">
        <v>64052.4</v>
      </c>
      <c r="Y144" s="58">
        <f>+W144+X144</f>
        <v>936372.4</v>
      </c>
      <c r="Z144" s="18">
        <v>32480</v>
      </c>
      <c r="AA144" s="58">
        <f>+Y144+Z144</f>
        <v>968852.4</v>
      </c>
      <c r="AB144" s="18">
        <v>5032480</v>
      </c>
      <c r="AC144" s="15">
        <f>+AA144+AB144</f>
        <v>6001332.4</v>
      </c>
      <c r="AD144" s="15">
        <f>+E144-AC144</f>
        <v>0</v>
      </c>
    </row>
    <row r="145" spans="1:30" ht="15">
      <c r="A145" s="29"/>
      <c r="B145" s="57">
        <v>3651</v>
      </c>
      <c r="C145" s="14" t="s">
        <v>242</v>
      </c>
      <c r="D145" s="18">
        <v>0</v>
      </c>
      <c r="E145" s="18">
        <v>0</v>
      </c>
      <c r="F145" s="18">
        <v>0</v>
      </c>
      <c r="G145" s="58">
        <f>+F145</f>
        <v>0</v>
      </c>
      <c r="H145" s="18">
        <v>0</v>
      </c>
      <c r="I145" s="58">
        <f>+G145+H145</f>
        <v>0</v>
      </c>
      <c r="J145" s="18">
        <v>0</v>
      </c>
      <c r="K145" s="58">
        <f>+I145+J145</f>
        <v>0</v>
      </c>
      <c r="L145" s="18">
        <v>0</v>
      </c>
      <c r="M145" s="58">
        <f>+K145+L145</f>
        <v>0</v>
      </c>
      <c r="N145" s="18">
        <v>0</v>
      </c>
      <c r="O145" s="58">
        <f>+M145+N145</f>
        <v>0</v>
      </c>
      <c r="P145" s="18">
        <v>0</v>
      </c>
      <c r="Q145" s="58">
        <f>+O145+P145</f>
        <v>0</v>
      </c>
      <c r="R145" s="18">
        <v>0</v>
      </c>
      <c r="S145" s="58">
        <f>+Q145+R145</f>
        <v>0</v>
      </c>
      <c r="T145" s="18">
        <v>0</v>
      </c>
      <c r="U145" s="58">
        <f>+S145+T145</f>
        <v>0</v>
      </c>
      <c r="V145" s="18">
        <v>0</v>
      </c>
      <c r="W145" s="58">
        <f>+U145+V145</f>
        <v>0</v>
      </c>
      <c r="X145" s="18">
        <v>0</v>
      </c>
      <c r="Y145" s="58">
        <f>+W145+X145</f>
        <v>0</v>
      </c>
      <c r="Z145" s="18">
        <v>0</v>
      </c>
      <c r="AA145" s="58">
        <f>+Y145+Z145</f>
        <v>0</v>
      </c>
      <c r="AB145" s="18">
        <v>0</v>
      </c>
      <c r="AC145" s="15">
        <f>+AA145+AB145</f>
        <v>0</v>
      </c>
      <c r="AD145" s="15">
        <f>+E145-AC145</f>
        <v>0</v>
      </c>
    </row>
    <row r="146" spans="1:30" ht="15">
      <c r="A146" s="29"/>
      <c r="B146" s="57">
        <v>3661</v>
      </c>
      <c r="C146" s="14" t="s">
        <v>224</v>
      </c>
      <c r="D146" s="18">
        <v>304179.84</v>
      </c>
      <c r="E146" s="18">
        <v>304179.84</v>
      </c>
      <c r="F146" s="18">
        <v>25348.32</v>
      </c>
      <c r="G146" s="58">
        <f>+F146</f>
        <v>25348.32</v>
      </c>
      <c r="H146" s="18">
        <v>25348.32</v>
      </c>
      <c r="I146" s="58">
        <f>+G146+H146</f>
        <v>50696.64</v>
      </c>
      <c r="J146" s="18">
        <v>25348.32</v>
      </c>
      <c r="K146" s="58">
        <f>+I146+J146</f>
        <v>76044.95999999999</v>
      </c>
      <c r="L146" s="18">
        <v>25348.32</v>
      </c>
      <c r="M146" s="58">
        <f>+K146+L146</f>
        <v>101393.28</v>
      </c>
      <c r="N146" s="18">
        <v>25348.32</v>
      </c>
      <c r="O146" s="58">
        <f>+M146+N146</f>
        <v>126741.6</v>
      </c>
      <c r="P146" s="18">
        <v>25348.32</v>
      </c>
      <c r="Q146" s="58">
        <f>+O146+P146</f>
        <v>152089.92</v>
      </c>
      <c r="R146" s="18">
        <v>25348.32</v>
      </c>
      <c r="S146" s="58">
        <f>+Q146+R146</f>
        <v>177438.24000000002</v>
      </c>
      <c r="T146" s="18">
        <v>25348.32</v>
      </c>
      <c r="U146" s="58">
        <f>+S146+T146</f>
        <v>202786.56000000003</v>
      </c>
      <c r="V146" s="18">
        <v>25348.32</v>
      </c>
      <c r="W146" s="58">
        <f>+U146+V146</f>
        <v>228134.88000000003</v>
      </c>
      <c r="X146" s="18">
        <v>25348.32</v>
      </c>
      <c r="Y146" s="58">
        <f>+W146+X146</f>
        <v>253483.20000000004</v>
      </c>
      <c r="Z146" s="18">
        <v>25348.32</v>
      </c>
      <c r="AA146" s="58">
        <f>+Y146+Z146</f>
        <v>278831.52</v>
      </c>
      <c r="AB146" s="18">
        <v>25348.32</v>
      </c>
      <c r="AC146" s="15">
        <f>+AA146+AB146</f>
        <v>304179.84</v>
      </c>
      <c r="AD146" s="15">
        <f>+E146-AC146</f>
        <v>0</v>
      </c>
    </row>
    <row r="147" spans="1:30" ht="15">
      <c r="A147" s="29"/>
      <c r="D147" s="15"/>
      <c r="E147" s="15"/>
      <c r="F147" s="15"/>
      <c r="G147" s="20"/>
      <c r="H147" s="15"/>
      <c r="I147" s="20"/>
      <c r="J147" s="15"/>
      <c r="K147" s="20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41"/>
    </row>
    <row r="148" spans="1:30" ht="15.75">
      <c r="A148" s="29"/>
      <c r="B148" s="69">
        <v>3700</v>
      </c>
      <c r="C148" s="67" t="s">
        <v>157</v>
      </c>
      <c r="D148" s="70">
        <f>SUM(D149:D154)</f>
        <v>50000</v>
      </c>
      <c r="E148" s="70">
        <f>SUM(E149:E154)</f>
        <v>64974.4</v>
      </c>
      <c r="F148" s="70">
        <f>SUM(F149:F154)</f>
        <v>0</v>
      </c>
      <c r="G148" s="70">
        <f aca="true" t="shared" si="117" ref="G148:AC148">SUM(G149:G154)</f>
        <v>0</v>
      </c>
      <c r="H148" s="70">
        <f>SUM(H149:H154)</f>
        <v>52379</v>
      </c>
      <c r="I148" s="70">
        <f t="shared" si="117"/>
        <v>52379</v>
      </c>
      <c r="J148" s="70">
        <f>SUM(J149:J154)</f>
        <v>12595.4</v>
      </c>
      <c r="K148" s="70">
        <f t="shared" si="117"/>
        <v>64974.4</v>
      </c>
      <c r="L148" s="70">
        <f>SUM(L149:L154)</f>
        <v>0</v>
      </c>
      <c r="M148" s="70">
        <f t="shared" si="117"/>
        <v>64974.4</v>
      </c>
      <c r="N148" s="70">
        <f>SUM(N149:N154)</f>
        <v>0</v>
      </c>
      <c r="O148" s="70">
        <f t="shared" si="117"/>
        <v>64974.4</v>
      </c>
      <c r="P148" s="70">
        <f>SUM(P149:P154)</f>
        <v>0</v>
      </c>
      <c r="Q148" s="70">
        <f t="shared" si="117"/>
        <v>64974.4</v>
      </c>
      <c r="R148" s="70">
        <f>SUM(R149:R154)</f>
        <v>0</v>
      </c>
      <c r="S148" s="70">
        <f t="shared" si="117"/>
        <v>64974.4</v>
      </c>
      <c r="T148" s="70">
        <f>SUM(T149:T154)</f>
        <v>0</v>
      </c>
      <c r="U148" s="70">
        <f t="shared" si="117"/>
        <v>64974.4</v>
      </c>
      <c r="V148" s="70">
        <f>SUM(V149:V154)</f>
        <v>0</v>
      </c>
      <c r="W148" s="70">
        <f t="shared" si="117"/>
        <v>64974.4</v>
      </c>
      <c r="X148" s="70">
        <f>SUM(X149:X154)</f>
        <v>0</v>
      </c>
      <c r="Y148" s="70">
        <f t="shared" si="117"/>
        <v>64974.4</v>
      </c>
      <c r="Z148" s="70">
        <f>SUM(Z149:Z154)</f>
        <v>0</v>
      </c>
      <c r="AA148" s="70">
        <f t="shared" si="117"/>
        <v>64974.4</v>
      </c>
      <c r="AB148" s="70">
        <f>SUM(AB149:AB154)</f>
        <v>0</v>
      </c>
      <c r="AC148" s="70">
        <f t="shared" si="117"/>
        <v>64974.4</v>
      </c>
      <c r="AD148" s="70">
        <f>SUM(AD149:AD154)</f>
        <v>0</v>
      </c>
    </row>
    <row r="149" spans="1:30" ht="15">
      <c r="A149" s="29"/>
      <c r="B149" s="57">
        <v>3711</v>
      </c>
      <c r="C149" s="14" t="s">
        <v>158</v>
      </c>
      <c r="D149" s="18">
        <v>0</v>
      </c>
      <c r="E149" s="18">
        <v>0</v>
      </c>
      <c r="F149" s="18">
        <v>0</v>
      </c>
      <c r="G149" s="58">
        <f aca="true" t="shared" si="118" ref="G149:G154">+F149</f>
        <v>0</v>
      </c>
      <c r="H149" s="18">
        <v>0</v>
      </c>
      <c r="I149" s="58">
        <f aca="true" t="shared" si="119" ref="I149:I154">+G149+H149</f>
        <v>0</v>
      </c>
      <c r="J149" s="18">
        <v>0</v>
      </c>
      <c r="K149" s="58">
        <f aca="true" t="shared" si="120" ref="K149:K154">+I149+J149</f>
        <v>0</v>
      </c>
      <c r="L149" s="18">
        <v>0</v>
      </c>
      <c r="M149" s="58">
        <f aca="true" t="shared" si="121" ref="M149:M154">+K149+L149</f>
        <v>0</v>
      </c>
      <c r="N149" s="18">
        <v>0</v>
      </c>
      <c r="O149" s="58">
        <f aca="true" t="shared" si="122" ref="O149:O154">+M149+N149</f>
        <v>0</v>
      </c>
      <c r="P149" s="18">
        <v>0</v>
      </c>
      <c r="Q149" s="58">
        <f aca="true" t="shared" si="123" ref="Q149:Q154">+O149+P149</f>
        <v>0</v>
      </c>
      <c r="R149" s="18">
        <v>0</v>
      </c>
      <c r="S149" s="58">
        <f aca="true" t="shared" si="124" ref="S149:S154">+Q149+R149</f>
        <v>0</v>
      </c>
      <c r="T149" s="18">
        <v>0</v>
      </c>
      <c r="U149" s="58">
        <f aca="true" t="shared" si="125" ref="U149:U154">+S149+T149</f>
        <v>0</v>
      </c>
      <c r="V149" s="18">
        <v>0</v>
      </c>
      <c r="W149" s="58">
        <f aca="true" t="shared" si="126" ref="W149:W154">+U149+V149</f>
        <v>0</v>
      </c>
      <c r="X149" s="18">
        <v>0</v>
      </c>
      <c r="Y149" s="58">
        <f aca="true" t="shared" si="127" ref="Y149:Y154">+W149+X149</f>
        <v>0</v>
      </c>
      <c r="Z149" s="18">
        <v>0</v>
      </c>
      <c r="AA149" s="58">
        <f aca="true" t="shared" si="128" ref="AA149:AA154">+Y149+Z149</f>
        <v>0</v>
      </c>
      <c r="AB149" s="18">
        <v>0</v>
      </c>
      <c r="AC149" s="15">
        <f aca="true" t="shared" si="129" ref="AC149:AC154">+AA149+AB149</f>
        <v>0</v>
      </c>
      <c r="AD149" s="15">
        <f aca="true" t="shared" si="130" ref="AD149:AD154">+E149-AC149</f>
        <v>0</v>
      </c>
    </row>
    <row r="150" spans="1:30" ht="15.75">
      <c r="A150" s="29"/>
      <c r="B150" s="57">
        <v>3721</v>
      </c>
      <c r="C150" s="14" t="s">
        <v>159</v>
      </c>
      <c r="D150" s="18">
        <v>0</v>
      </c>
      <c r="E150" s="286">
        <f>0+581.4</f>
        <v>581.4</v>
      </c>
      <c r="F150" s="18">
        <v>0</v>
      </c>
      <c r="G150" s="58">
        <f t="shared" si="118"/>
        <v>0</v>
      </c>
      <c r="H150" s="18">
        <v>0</v>
      </c>
      <c r="I150" s="58">
        <f t="shared" si="119"/>
        <v>0</v>
      </c>
      <c r="J150" s="286">
        <f>0+581.4</f>
        <v>581.4</v>
      </c>
      <c r="K150" s="58">
        <f t="shared" si="120"/>
        <v>581.4</v>
      </c>
      <c r="L150" s="18">
        <v>0</v>
      </c>
      <c r="M150" s="58">
        <f t="shared" si="121"/>
        <v>581.4</v>
      </c>
      <c r="N150" s="18">
        <v>0</v>
      </c>
      <c r="O150" s="58">
        <f t="shared" si="122"/>
        <v>581.4</v>
      </c>
      <c r="P150" s="18">
        <v>0</v>
      </c>
      <c r="Q150" s="58">
        <f t="shared" si="123"/>
        <v>581.4</v>
      </c>
      <c r="R150" s="18">
        <v>0</v>
      </c>
      <c r="S150" s="58">
        <f t="shared" si="124"/>
        <v>581.4</v>
      </c>
      <c r="T150" s="18">
        <v>0</v>
      </c>
      <c r="U150" s="58">
        <f t="shared" si="125"/>
        <v>581.4</v>
      </c>
      <c r="V150" s="18">
        <v>0</v>
      </c>
      <c r="W150" s="58">
        <f t="shared" si="126"/>
        <v>581.4</v>
      </c>
      <c r="X150" s="18">
        <v>0</v>
      </c>
      <c r="Y150" s="58">
        <f t="shared" si="127"/>
        <v>581.4</v>
      </c>
      <c r="Z150" s="18">
        <v>0</v>
      </c>
      <c r="AA150" s="58">
        <f t="shared" si="128"/>
        <v>581.4</v>
      </c>
      <c r="AB150" s="18">
        <v>0</v>
      </c>
      <c r="AC150" s="15">
        <f t="shared" si="129"/>
        <v>581.4</v>
      </c>
      <c r="AD150" s="15">
        <f t="shared" si="130"/>
        <v>0</v>
      </c>
    </row>
    <row r="151" spans="1:30" ht="15.75">
      <c r="A151" s="29"/>
      <c r="B151" s="57">
        <v>3722</v>
      </c>
      <c r="C151" s="14" t="s">
        <v>194</v>
      </c>
      <c r="D151" s="18">
        <v>0</v>
      </c>
      <c r="E151" s="286">
        <f>0+475+1904+843+295</f>
        <v>3517</v>
      </c>
      <c r="F151" s="18">
        <v>0</v>
      </c>
      <c r="G151" s="58">
        <f t="shared" si="118"/>
        <v>0</v>
      </c>
      <c r="H151" s="286">
        <f>0+475+1904</f>
        <v>2379</v>
      </c>
      <c r="I151" s="58">
        <f t="shared" si="119"/>
        <v>2379</v>
      </c>
      <c r="J151" s="286">
        <f>0+843+295</f>
        <v>1138</v>
      </c>
      <c r="K151" s="58">
        <f t="shared" si="120"/>
        <v>3517</v>
      </c>
      <c r="L151" s="18">
        <v>0</v>
      </c>
      <c r="M151" s="58">
        <f t="shared" si="121"/>
        <v>3517</v>
      </c>
      <c r="N151" s="18">
        <v>0</v>
      </c>
      <c r="O151" s="58">
        <f t="shared" si="122"/>
        <v>3517</v>
      </c>
      <c r="P151" s="18">
        <v>0</v>
      </c>
      <c r="Q151" s="58">
        <f t="shared" si="123"/>
        <v>3517</v>
      </c>
      <c r="R151" s="18">
        <v>0</v>
      </c>
      <c r="S151" s="58">
        <f t="shared" si="124"/>
        <v>3517</v>
      </c>
      <c r="T151" s="18">
        <v>0</v>
      </c>
      <c r="U151" s="58">
        <f t="shared" si="125"/>
        <v>3517</v>
      </c>
      <c r="V151" s="18">
        <v>0</v>
      </c>
      <c r="W151" s="58">
        <f t="shared" si="126"/>
        <v>3517</v>
      </c>
      <c r="X151" s="18">
        <v>0</v>
      </c>
      <c r="Y151" s="58">
        <f t="shared" si="127"/>
        <v>3517</v>
      </c>
      <c r="Z151" s="18">
        <v>0</v>
      </c>
      <c r="AA151" s="58">
        <f t="shared" si="128"/>
        <v>3517</v>
      </c>
      <c r="AB151" s="18">
        <v>0</v>
      </c>
      <c r="AC151" s="15">
        <f t="shared" si="129"/>
        <v>3517</v>
      </c>
      <c r="AD151" s="15">
        <f t="shared" si="130"/>
        <v>0</v>
      </c>
    </row>
    <row r="152" spans="1:30" ht="15.75">
      <c r="A152" s="29"/>
      <c r="B152" s="57">
        <v>3751</v>
      </c>
      <c r="C152" s="14" t="s">
        <v>160</v>
      </c>
      <c r="D152" s="18">
        <v>50000</v>
      </c>
      <c r="E152" s="286">
        <f>50000+10876</f>
        <v>60876</v>
      </c>
      <c r="F152" s="18">
        <v>0</v>
      </c>
      <c r="G152" s="58">
        <f t="shared" si="118"/>
        <v>0</v>
      </c>
      <c r="H152" s="18">
        <v>50000</v>
      </c>
      <c r="I152" s="58">
        <f t="shared" si="119"/>
        <v>50000</v>
      </c>
      <c r="J152" s="286">
        <f>0+10876</f>
        <v>10876</v>
      </c>
      <c r="K152" s="58">
        <f t="shared" si="120"/>
        <v>60876</v>
      </c>
      <c r="L152" s="18">
        <v>0</v>
      </c>
      <c r="M152" s="58">
        <f t="shared" si="121"/>
        <v>60876</v>
      </c>
      <c r="N152" s="18">
        <v>0</v>
      </c>
      <c r="O152" s="58">
        <f t="shared" si="122"/>
        <v>60876</v>
      </c>
      <c r="P152" s="18">
        <v>0</v>
      </c>
      <c r="Q152" s="58">
        <f t="shared" si="123"/>
        <v>60876</v>
      </c>
      <c r="R152" s="18">
        <v>0</v>
      </c>
      <c r="S152" s="58">
        <f t="shared" si="124"/>
        <v>60876</v>
      </c>
      <c r="T152" s="18">
        <v>0</v>
      </c>
      <c r="U152" s="58">
        <f t="shared" si="125"/>
        <v>60876</v>
      </c>
      <c r="V152" s="18">
        <v>0</v>
      </c>
      <c r="W152" s="58">
        <f t="shared" si="126"/>
        <v>60876</v>
      </c>
      <c r="X152" s="18">
        <v>0</v>
      </c>
      <c r="Y152" s="58">
        <f t="shared" si="127"/>
        <v>60876</v>
      </c>
      <c r="Z152" s="18">
        <v>0</v>
      </c>
      <c r="AA152" s="58">
        <f t="shared" si="128"/>
        <v>60876</v>
      </c>
      <c r="AB152" s="18">
        <v>0</v>
      </c>
      <c r="AC152" s="15">
        <f t="shared" si="129"/>
        <v>60876</v>
      </c>
      <c r="AD152" s="15">
        <f t="shared" si="130"/>
        <v>0</v>
      </c>
    </row>
    <row r="153" spans="1:30" ht="15">
      <c r="A153" s="29"/>
      <c r="B153" s="57">
        <v>3761</v>
      </c>
      <c r="C153" s="14" t="s">
        <v>162</v>
      </c>
      <c r="D153" s="18">
        <v>0</v>
      </c>
      <c r="E153" s="18">
        <v>0</v>
      </c>
      <c r="F153" s="18">
        <v>0</v>
      </c>
      <c r="G153" s="58">
        <f t="shared" si="118"/>
        <v>0</v>
      </c>
      <c r="H153" s="18">
        <v>0</v>
      </c>
      <c r="I153" s="58">
        <f t="shared" si="119"/>
        <v>0</v>
      </c>
      <c r="J153" s="18">
        <v>0</v>
      </c>
      <c r="K153" s="58">
        <f t="shared" si="120"/>
        <v>0</v>
      </c>
      <c r="L153" s="18">
        <v>0</v>
      </c>
      <c r="M153" s="58">
        <f t="shared" si="121"/>
        <v>0</v>
      </c>
      <c r="N153" s="18">
        <v>0</v>
      </c>
      <c r="O153" s="58">
        <f t="shared" si="122"/>
        <v>0</v>
      </c>
      <c r="P153" s="18">
        <v>0</v>
      </c>
      <c r="Q153" s="58">
        <f t="shared" si="123"/>
        <v>0</v>
      </c>
      <c r="R153" s="18">
        <v>0</v>
      </c>
      <c r="S153" s="58">
        <f t="shared" si="124"/>
        <v>0</v>
      </c>
      <c r="T153" s="18">
        <v>0</v>
      </c>
      <c r="U153" s="58">
        <f t="shared" si="125"/>
        <v>0</v>
      </c>
      <c r="V153" s="18">
        <v>0</v>
      </c>
      <c r="W153" s="58">
        <f t="shared" si="126"/>
        <v>0</v>
      </c>
      <c r="X153" s="18">
        <v>0</v>
      </c>
      <c r="Y153" s="58">
        <f t="shared" si="127"/>
        <v>0</v>
      </c>
      <c r="Z153" s="18">
        <v>0</v>
      </c>
      <c r="AA153" s="58">
        <f t="shared" si="128"/>
        <v>0</v>
      </c>
      <c r="AB153" s="18">
        <v>0</v>
      </c>
      <c r="AC153" s="15">
        <f t="shared" si="129"/>
        <v>0</v>
      </c>
      <c r="AD153" s="15">
        <f t="shared" si="130"/>
        <v>0</v>
      </c>
    </row>
    <row r="154" spans="1:30" ht="15">
      <c r="A154" s="29"/>
      <c r="B154" s="57">
        <v>3791</v>
      </c>
      <c r="C154" s="14" t="s">
        <v>161</v>
      </c>
      <c r="D154" s="18">
        <v>0</v>
      </c>
      <c r="E154" s="18">
        <v>0</v>
      </c>
      <c r="F154" s="18">
        <v>0</v>
      </c>
      <c r="G154" s="58">
        <f t="shared" si="118"/>
        <v>0</v>
      </c>
      <c r="H154" s="18">
        <v>0</v>
      </c>
      <c r="I154" s="58">
        <f t="shared" si="119"/>
        <v>0</v>
      </c>
      <c r="J154" s="18">
        <v>0</v>
      </c>
      <c r="K154" s="58">
        <f t="shared" si="120"/>
        <v>0</v>
      </c>
      <c r="L154" s="18">
        <v>0</v>
      </c>
      <c r="M154" s="58">
        <f t="shared" si="121"/>
        <v>0</v>
      </c>
      <c r="N154" s="18">
        <v>0</v>
      </c>
      <c r="O154" s="58">
        <f t="shared" si="122"/>
        <v>0</v>
      </c>
      <c r="P154" s="18">
        <v>0</v>
      </c>
      <c r="Q154" s="58">
        <f t="shared" si="123"/>
        <v>0</v>
      </c>
      <c r="R154" s="18">
        <v>0</v>
      </c>
      <c r="S154" s="58">
        <f t="shared" si="124"/>
        <v>0</v>
      </c>
      <c r="T154" s="18">
        <v>0</v>
      </c>
      <c r="U154" s="58">
        <f t="shared" si="125"/>
        <v>0</v>
      </c>
      <c r="V154" s="18">
        <v>0</v>
      </c>
      <c r="W154" s="58">
        <f t="shared" si="126"/>
        <v>0</v>
      </c>
      <c r="X154" s="18">
        <v>0</v>
      </c>
      <c r="Y154" s="58">
        <f t="shared" si="127"/>
        <v>0</v>
      </c>
      <c r="Z154" s="18">
        <v>0</v>
      </c>
      <c r="AA154" s="58">
        <f t="shared" si="128"/>
        <v>0</v>
      </c>
      <c r="AB154" s="18">
        <v>0</v>
      </c>
      <c r="AC154" s="15">
        <f t="shared" si="129"/>
        <v>0</v>
      </c>
      <c r="AD154" s="15">
        <f t="shared" si="130"/>
        <v>0</v>
      </c>
    </row>
    <row r="155" spans="1:29" ht="15">
      <c r="A155" s="29"/>
      <c r="B155" s="66"/>
      <c r="C155" s="14"/>
      <c r="D155" s="17"/>
      <c r="E155" s="17"/>
      <c r="F155" s="17"/>
      <c r="G155" s="59"/>
      <c r="H155" s="17"/>
      <c r="I155" s="15"/>
      <c r="J155" s="17"/>
      <c r="K155" s="15"/>
      <c r="L155" s="17"/>
      <c r="M155" s="15"/>
      <c r="N155" s="17"/>
      <c r="O155" s="15"/>
      <c r="P155" s="17"/>
      <c r="Q155" s="15"/>
      <c r="R155" s="17"/>
      <c r="S155" s="15"/>
      <c r="T155" s="17"/>
      <c r="U155" s="15"/>
      <c r="V155" s="17"/>
      <c r="W155" s="15"/>
      <c r="X155" s="17"/>
      <c r="Y155" s="15"/>
      <c r="Z155" s="17"/>
      <c r="AA155" s="15"/>
      <c r="AB155" s="17"/>
      <c r="AC155" s="15"/>
    </row>
    <row r="156" spans="1:30" ht="15.75">
      <c r="A156" s="29"/>
      <c r="B156" s="69">
        <v>3800</v>
      </c>
      <c r="C156" s="67" t="s">
        <v>51</v>
      </c>
      <c r="D156" s="70">
        <f>SUM(D157:D160)</f>
        <v>1099200</v>
      </c>
      <c r="E156" s="70">
        <f>SUM(E157:E160)</f>
        <v>1179368.1</v>
      </c>
      <c r="F156" s="70">
        <f>SUM(F157:F160)</f>
        <v>91600</v>
      </c>
      <c r="G156" s="70">
        <f aca="true" t="shared" si="131" ref="G156:AC156">SUM(G157:G160)</f>
        <v>91600</v>
      </c>
      <c r="H156" s="70">
        <f>SUM(H157:H160)</f>
        <v>141093</v>
      </c>
      <c r="I156" s="70">
        <f t="shared" si="131"/>
        <v>232693</v>
      </c>
      <c r="J156" s="70">
        <f>SUM(J157:J160)</f>
        <v>122275.1</v>
      </c>
      <c r="K156" s="70">
        <f t="shared" si="131"/>
        <v>354968.1</v>
      </c>
      <c r="L156" s="70">
        <f>SUM(L157:L160)</f>
        <v>91600</v>
      </c>
      <c r="M156" s="70">
        <f t="shared" si="131"/>
        <v>446568.1</v>
      </c>
      <c r="N156" s="70">
        <f>SUM(N157:N160)</f>
        <v>91600</v>
      </c>
      <c r="O156" s="70">
        <f t="shared" si="131"/>
        <v>538168.1</v>
      </c>
      <c r="P156" s="70">
        <f>SUM(P157:P160)</f>
        <v>91600</v>
      </c>
      <c r="Q156" s="70">
        <f t="shared" si="131"/>
        <v>629768.1</v>
      </c>
      <c r="R156" s="70">
        <f>SUM(R157:R160)</f>
        <v>91600</v>
      </c>
      <c r="S156" s="70">
        <f t="shared" si="131"/>
        <v>721368.1</v>
      </c>
      <c r="T156" s="70">
        <f>SUM(T157:T160)</f>
        <v>91600</v>
      </c>
      <c r="U156" s="70">
        <f t="shared" si="131"/>
        <v>812968.1</v>
      </c>
      <c r="V156" s="70">
        <f>SUM(V157:V160)</f>
        <v>91600</v>
      </c>
      <c r="W156" s="70">
        <f t="shared" si="131"/>
        <v>904568.1</v>
      </c>
      <c r="X156" s="70">
        <f>SUM(X157:X160)</f>
        <v>91600</v>
      </c>
      <c r="Y156" s="70">
        <f t="shared" si="131"/>
        <v>996168.1</v>
      </c>
      <c r="Z156" s="70">
        <f>SUM(Z157:Z160)</f>
        <v>91600</v>
      </c>
      <c r="AA156" s="70">
        <f t="shared" si="131"/>
        <v>1087768.1</v>
      </c>
      <c r="AB156" s="70">
        <f>SUM(AB157:AB160)</f>
        <v>91600</v>
      </c>
      <c r="AC156" s="70">
        <f t="shared" si="131"/>
        <v>1179368.1</v>
      </c>
      <c r="AD156" s="70">
        <f>SUM(AD157:AD160)</f>
        <v>0</v>
      </c>
    </row>
    <row r="157" spans="1:30" ht="15">
      <c r="A157" s="29"/>
      <c r="B157" s="57">
        <v>3811</v>
      </c>
      <c r="C157" s="14" t="s">
        <v>163</v>
      </c>
      <c r="D157" s="18">
        <v>0</v>
      </c>
      <c r="E157" s="18">
        <v>0</v>
      </c>
      <c r="F157" s="18">
        <v>0</v>
      </c>
      <c r="G157" s="58">
        <f>+F157</f>
        <v>0</v>
      </c>
      <c r="H157" s="18">
        <v>0</v>
      </c>
      <c r="I157" s="58">
        <f>+G157+H157</f>
        <v>0</v>
      </c>
      <c r="J157" s="18">
        <v>0</v>
      </c>
      <c r="K157" s="58">
        <f>+I157+J157</f>
        <v>0</v>
      </c>
      <c r="L157" s="18">
        <v>0</v>
      </c>
      <c r="M157" s="58">
        <f>+K157+L157</f>
        <v>0</v>
      </c>
      <c r="N157" s="18">
        <v>0</v>
      </c>
      <c r="O157" s="58">
        <f>+M157+N157</f>
        <v>0</v>
      </c>
      <c r="P157" s="18">
        <v>0</v>
      </c>
      <c r="Q157" s="58">
        <f>+O157+P157</f>
        <v>0</v>
      </c>
      <c r="R157" s="18">
        <v>0</v>
      </c>
      <c r="S157" s="58">
        <f>+Q157+R157</f>
        <v>0</v>
      </c>
      <c r="T157" s="18">
        <v>0</v>
      </c>
      <c r="U157" s="58">
        <f>+S157+T157</f>
        <v>0</v>
      </c>
      <c r="V157" s="18">
        <v>0</v>
      </c>
      <c r="W157" s="58">
        <f>+U157+V157</f>
        <v>0</v>
      </c>
      <c r="X157" s="18">
        <v>0</v>
      </c>
      <c r="Y157" s="58">
        <f>+W157+X157</f>
        <v>0</v>
      </c>
      <c r="Z157" s="18">
        <v>0</v>
      </c>
      <c r="AA157" s="58">
        <f>+Y157+Z157</f>
        <v>0</v>
      </c>
      <c r="AB157" s="18">
        <v>0</v>
      </c>
      <c r="AC157" s="15">
        <f>+AA157+AB157</f>
        <v>0</v>
      </c>
      <c r="AD157" s="15">
        <f>+E157-AC157</f>
        <v>0</v>
      </c>
    </row>
    <row r="158" spans="1:30" ht="15">
      <c r="A158" s="29"/>
      <c r="B158" s="57">
        <v>3822</v>
      </c>
      <c r="C158" s="14" t="s">
        <v>164</v>
      </c>
      <c r="D158" s="18">
        <v>0</v>
      </c>
      <c r="E158" s="18">
        <v>0</v>
      </c>
      <c r="F158" s="18">
        <v>0</v>
      </c>
      <c r="G158" s="58">
        <f>+F158</f>
        <v>0</v>
      </c>
      <c r="H158" s="18">
        <v>0</v>
      </c>
      <c r="I158" s="58">
        <f>+G158+H158</f>
        <v>0</v>
      </c>
      <c r="J158" s="18">
        <v>0</v>
      </c>
      <c r="K158" s="58">
        <f>+I158+J158</f>
        <v>0</v>
      </c>
      <c r="L158" s="18">
        <v>0</v>
      </c>
      <c r="M158" s="58">
        <f>+K158+L158</f>
        <v>0</v>
      </c>
      <c r="N158" s="18">
        <v>0</v>
      </c>
      <c r="O158" s="58">
        <f>+M158+N158</f>
        <v>0</v>
      </c>
      <c r="P158" s="18">
        <v>0</v>
      </c>
      <c r="Q158" s="58">
        <f>+O158+P158</f>
        <v>0</v>
      </c>
      <c r="R158" s="18">
        <v>0</v>
      </c>
      <c r="S158" s="58">
        <f>+Q158+R158</f>
        <v>0</v>
      </c>
      <c r="T158" s="18">
        <v>0</v>
      </c>
      <c r="U158" s="58">
        <f>+S158+T158</f>
        <v>0</v>
      </c>
      <c r="V158" s="18">
        <v>0</v>
      </c>
      <c r="W158" s="58">
        <f>+U158+V158</f>
        <v>0</v>
      </c>
      <c r="X158" s="18">
        <v>0</v>
      </c>
      <c r="Y158" s="58">
        <f>+W158+X158</f>
        <v>0</v>
      </c>
      <c r="Z158" s="18">
        <v>0</v>
      </c>
      <c r="AA158" s="58">
        <f>+Y158+Z158</f>
        <v>0</v>
      </c>
      <c r="AB158" s="18">
        <v>0</v>
      </c>
      <c r="AC158" s="15">
        <f>+AA158+AB158</f>
        <v>0</v>
      </c>
      <c r="AD158" s="15">
        <f>+E158-AC158</f>
        <v>0</v>
      </c>
    </row>
    <row r="159" spans="1:30" ht="15.75">
      <c r="A159" s="29"/>
      <c r="B159" s="57">
        <v>3831</v>
      </c>
      <c r="C159" s="14" t="s">
        <v>165</v>
      </c>
      <c r="D159" s="18">
        <v>1099200</v>
      </c>
      <c r="E159" s="286">
        <f>1099200+50000-507+43000-12314.9-10</f>
        <v>1179368.1</v>
      </c>
      <c r="F159" s="18">
        <v>91600</v>
      </c>
      <c r="G159" s="58">
        <f>+F159</f>
        <v>91600</v>
      </c>
      <c r="H159" s="286">
        <f>91600+50000-507</f>
        <v>141093</v>
      </c>
      <c r="I159" s="58">
        <f>+G159+H159</f>
        <v>232693</v>
      </c>
      <c r="J159" s="286">
        <f>91600+43000-12314.9-10</f>
        <v>122275.1</v>
      </c>
      <c r="K159" s="58">
        <f>+I159+J159</f>
        <v>354968.1</v>
      </c>
      <c r="L159" s="18">
        <v>91600</v>
      </c>
      <c r="M159" s="58">
        <f>+K159+L159</f>
        <v>446568.1</v>
      </c>
      <c r="N159" s="18">
        <v>91600</v>
      </c>
      <c r="O159" s="58">
        <f>+M159+N159</f>
        <v>538168.1</v>
      </c>
      <c r="P159" s="18">
        <v>91600</v>
      </c>
      <c r="Q159" s="58">
        <f>+O159+P159</f>
        <v>629768.1</v>
      </c>
      <c r="R159" s="18">
        <v>91600</v>
      </c>
      <c r="S159" s="58">
        <f>+Q159+R159</f>
        <v>721368.1</v>
      </c>
      <c r="T159" s="18">
        <v>91600</v>
      </c>
      <c r="U159" s="58">
        <f>+S159+T159</f>
        <v>812968.1</v>
      </c>
      <c r="V159" s="18">
        <v>91600</v>
      </c>
      <c r="W159" s="58">
        <f>+U159+V159</f>
        <v>904568.1</v>
      </c>
      <c r="X159" s="18">
        <v>91600</v>
      </c>
      <c r="Y159" s="58">
        <f>+W159+X159</f>
        <v>996168.1</v>
      </c>
      <c r="Z159" s="18">
        <v>91600</v>
      </c>
      <c r="AA159" s="58">
        <f>+Y159+Z159</f>
        <v>1087768.1</v>
      </c>
      <c r="AB159" s="18">
        <v>91600</v>
      </c>
      <c r="AC159" s="15">
        <f>+AA159+AB159</f>
        <v>1179368.1</v>
      </c>
      <c r="AD159" s="15">
        <f>+E159-AC159</f>
        <v>0</v>
      </c>
    </row>
    <row r="160" spans="1:30" ht="15">
      <c r="A160" s="29"/>
      <c r="B160" s="57">
        <v>3841</v>
      </c>
      <c r="C160" s="14" t="s">
        <v>201</v>
      </c>
      <c r="D160" s="18">
        <v>0</v>
      </c>
      <c r="E160" s="18">
        <v>0</v>
      </c>
      <c r="F160" s="18">
        <v>0</v>
      </c>
      <c r="G160" s="58">
        <f>+F160</f>
        <v>0</v>
      </c>
      <c r="H160" s="18">
        <v>0</v>
      </c>
      <c r="I160" s="58">
        <f>+G160+H160</f>
        <v>0</v>
      </c>
      <c r="J160" s="18">
        <v>0</v>
      </c>
      <c r="K160" s="58">
        <f>+I160+J160</f>
        <v>0</v>
      </c>
      <c r="L160" s="18">
        <v>0</v>
      </c>
      <c r="M160" s="58">
        <f>+K160+L160</f>
        <v>0</v>
      </c>
      <c r="N160" s="18">
        <v>0</v>
      </c>
      <c r="O160" s="58">
        <f>+M160+N160</f>
        <v>0</v>
      </c>
      <c r="P160" s="18">
        <v>0</v>
      </c>
      <c r="Q160" s="58">
        <f>+O160+P160</f>
        <v>0</v>
      </c>
      <c r="R160" s="18">
        <v>0</v>
      </c>
      <c r="S160" s="58">
        <f>+Q160+R160</f>
        <v>0</v>
      </c>
      <c r="T160" s="18">
        <v>0</v>
      </c>
      <c r="U160" s="58">
        <f>+S160+T160</f>
        <v>0</v>
      </c>
      <c r="V160" s="18">
        <v>0</v>
      </c>
      <c r="W160" s="58">
        <f>+U160+V160</f>
        <v>0</v>
      </c>
      <c r="X160" s="18">
        <v>0</v>
      </c>
      <c r="Y160" s="58">
        <f>+W160+X160</f>
        <v>0</v>
      </c>
      <c r="Z160" s="18">
        <v>0</v>
      </c>
      <c r="AA160" s="58">
        <f>+Y160+Z160</f>
        <v>0</v>
      </c>
      <c r="AB160" s="18">
        <v>0</v>
      </c>
      <c r="AC160" s="15">
        <f>+AA160+AB160</f>
        <v>0</v>
      </c>
      <c r="AD160" s="15">
        <f>+E160-AC160</f>
        <v>0</v>
      </c>
    </row>
    <row r="161" spans="1:29" ht="15">
      <c r="A161" s="29"/>
      <c r="B161" s="57"/>
      <c r="C161" s="14"/>
      <c r="D161" s="72"/>
      <c r="E161" s="72"/>
      <c r="F161" s="72"/>
      <c r="G161" s="59"/>
      <c r="H161" s="72"/>
      <c r="I161" s="15"/>
      <c r="J161" s="72"/>
      <c r="K161" s="15"/>
      <c r="L161" s="72"/>
      <c r="M161" s="15"/>
      <c r="N161" s="72"/>
      <c r="O161" s="15"/>
      <c r="P161" s="72"/>
      <c r="Q161" s="15"/>
      <c r="R161" s="72"/>
      <c r="S161" s="15"/>
      <c r="T161" s="72"/>
      <c r="U161" s="15"/>
      <c r="V161" s="72"/>
      <c r="W161" s="15"/>
      <c r="X161" s="72"/>
      <c r="Y161" s="15"/>
      <c r="Z161" s="72"/>
      <c r="AA161" s="15"/>
      <c r="AB161" s="72"/>
      <c r="AC161" s="15"/>
    </row>
    <row r="162" spans="1:30" ht="15.75">
      <c r="A162" s="29"/>
      <c r="B162" s="69">
        <v>3900</v>
      </c>
      <c r="C162" s="67" t="s">
        <v>166</v>
      </c>
      <c r="D162" s="70">
        <f>SUM(D163:D167)</f>
        <v>6472576.53</v>
      </c>
      <c r="E162" s="70">
        <f>SUM(E163:E167)</f>
        <v>6472576.53</v>
      </c>
      <c r="F162" s="70">
        <f>SUM(F163:F167)</f>
        <v>450417.57</v>
      </c>
      <c r="G162" s="70">
        <f aca="true" t="shared" si="132" ref="G162:AC162">SUM(G163:G167)</f>
        <v>450417.57</v>
      </c>
      <c r="H162" s="70">
        <f>SUM(H163:H167)</f>
        <v>355227.57</v>
      </c>
      <c r="I162" s="70">
        <f t="shared" si="132"/>
        <v>805645.14</v>
      </c>
      <c r="J162" s="70">
        <f>SUM(J163:J167)</f>
        <v>1393306.53</v>
      </c>
      <c r="K162" s="70">
        <f t="shared" si="132"/>
        <v>2198951.67</v>
      </c>
      <c r="L162" s="70">
        <f>SUM(L163:L167)</f>
        <v>355227.57000000007</v>
      </c>
      <c r="M162" s="70">
        <f t="shared" si="132"/>
        <v>2554179.24</v>
      </c>
      <c r="N162" s="70">
        <f>SUM(N163:N167)</f>
        <v>359827.57000000007</v>
      </c>
      <c r="O162" s="70">
        <f t="shared" si="132"/>
        <v>2914006.81</v>
      </c>
      <c r="P162" s="70">
        <f>SUM(P163:P167)</f>
        <v>393006.5299999999</v>
      </c>
      <c r="Q162" s="70">
        <f t="shared" si="132"/>
        <v>3307013.34</v>
      </c>
      <c r="R162" s="70">
        <f>SUM(R163:R167)</f>
        <v>401828.27999999997</v>
      </c>
      <c r="S162" s="70">
        <f t="shared" si="132"/>
        <v>3708841.6199999996</v>
      </c>
      <c r="T162" s="70">
        <f>SUM(T163:T167)</f>
        <v>355227.57000000007</v>
      </c>
      <c r="U162" s="70">
        <f t="shared" si="132"/>
        <v>4064069.1899999995</v>
      </c>
      <c r="V162" s="70">
        <f>SUM(V163:V167)</f>
        <v>393606.5299999999</v>
      </c>
      <c r="W162" s="70">
        <f t="shared" si="132"/>
        <v>4457675.719999999</v>
      </c>
      <c r="X162" s="70">
        <f>SUM(X163:X167)</f>
        <v>355227.57000000007</v>
      </c>
      <c r="Y162" s="70">
        <f t="shared" si="132"/>
        <v>4812903.289999999</v>
      </c>
      <c r="Z162" s="70">
        <f>SUM(Z163:Z167)</f>
        <v>355827.57000000007</v>
      </c>
      <c r="AA162" s="70">
        <f t="shared" si="132"/>
        <v>5168730.859999999</v>
      </c>
      <c r="AB162" s="70">
        <f>SUM(AB163:AB167)</f>
        <v>1303845.67</v>
      </c>
      <c r="AC162" s="70">
        <f t="shared" si="132"/>
        <v>6472576.529999999</v>
      </c>
      <c r="AD162" s="70">
        <f>SUM(AD163:AD167)</f>
        <v>0</v>
      </c>
    </row>
    <row r="163" spans="1:30" ht="15">
      <c r="A163" s="29"/>
      <c r="B163" s="57">
        <v>3911</v>
      </c>
      <c r="C163" s="26" t="s">
        <v>237</v>
      </c>
      <c r="D163" s="18">
        <v>0</v>
      </c>
      <c r="E163" s="18">
        <v>0</v>
      </c>
      <c r="F163" s="18">
        <v>0</v>
      </c>
      <c r="G163" s="58">
        <f>+F163</f>
        <v>0</v>
      </c>
      <c r="H163" s="18">
        <v>0</v>
      </c>
      <c r="I163" s="58">
        <f>+G163+H163</f>
        <v>0</v>
      </c>
      <c r="J163" s="18">
        <v>0</v>
      </c>
      <c r="K163" s="58">
        <f>+I163+J163</f>
        <v>0</v>
      </c>
      <c r="L163" s="18">
        <v>0</v>
      </c>
      <c r="M163" s="58">
        <f>+K163+L163</f>
        <v>0</v>
      </c>
      <c r="N163" s="18">
        <v>0</v>
      </c>
      <c r="O163" s="58">
        <f>+M163+N163</f>
        <v>0</v>
      </c>
      <c r="P163" s="18">
        <v>0</v>
      </c>
      <c r="Q163" s="58">
        <f>+O163+P163</f>
        <v>0</v>
      </c>
      <c r="R163" s="18">
        <v>0</v>
      </c>
      <c r="S163" s="58">
        <f>+Q163+R163</f>
        <v>0</v>
      </c>
      <c r="T163" s="18">
        <v>0</v>
      </c>
      <c r="U163" s="58">
        <f>+S163+T163</f>
        <v>0</v>
      </c>
      <c r="V163" s="18">
        <v>0</v>
      </c>
      <c r="W163" s="58">
        <f>+U163+V163</f>
        <v>0</v>
      </c>
      <c r="X163" s="18">
        <v>0</v>
      </c>
      <c r="Y163" s="58">
        <f>+W163+X163</f>
        <v>0</v>
      </c>
      <c r="Z163" s="18">
        <v>0</v>
      </c>
      <c r="AA163" s="58">
        <f>+Y163+Z163</f>
        <v>0</v>
      </c>
      <c r="AB163" s="18">
        <v>0</v>
      </c>
      <c r="AC163" s="15">
        <f>+AA163+AB163</f>
        <v>0</v>
      </c>
      <c r="AD163" s="15">
        <f>+E163-AC163</f>
        <v>0</v>
      </c>
    </row>
    <row r="164" spans="1:30" ht="15">
      <c r="A164" s="29"/>
      <c r="B164" s="57">
        <v>3921</v>
      </c>
      <c r="C164" s="14" t="s">
        <v>167</v>
      </c>
      <c r="D164" s="18">
        <v>101890</v>
      </c>
      <c r="E164" s="18">
        <v>101890</v>
      </c>
      <c r="F164" s="18">
        <v>95190</v>
      </c>
      <c r="G164" s="58">
        <f>+F164</f>
        <v>95190</v>
      </c>
      <c r="H164" s="18">
        <v>0</v>
      </c>
      <c r="I164" s="58">
        <f>+G164+H164</f>
        <v>95190</v>
      </c>
      <c r="J164" s="18">
        <v>300</v>
      </c>
      <c r="K164" s="58">
        <f>+I164+J164</f>
        <v>95490</v>
      </c>
      <c r="L164" s="18">
        <v>0</v>
      </c>
      <c r="M164" s="58">
        <f>+K164+L164</f>
        <v>95490</v>
      </c>
      <c r="N164" s="18">
        <v>4600</v>
      </c>
      <c r="O164" s="58">
        <f>+M164+N164</f>
        <v>100090</v>
      </c>
      <c r="P164" s="18">
        <v>0</v>
      </c>
      <c r="Q164" s="58">
        <f>+O164+P164</f>
        <v>100090</v>
      </c>
      <c r="R164" s="18">
        <v>600</v>
      </c>
      <c r="S164" s="58">
        <f>+Q164+R164</f>
        <v>100690</v>
      </c>
      <c r="T164" s="18">
        <v>0</v>
      </c>
      <c r="U164" s="58">
        <f>+S164+T164</f>
        <v>100690</v>
      </c>
      <c r="V164" s="18">
        <v>600</v>
      </c>
      <c r="W164" s="58">
        <f>+U164+V164</f>
        <v>101290</v>
      </c>
      <c r="X164" s="18">
        <v>0</v>
      </c>
      <c r="Y164" s="58">
        <f>+W164+X164</f>
        <v>101290</v>
      </c>
      <c r="Z164" s="18">
        <v>600</v>
      </c>
      <c r="AA164" s="58">
        <f>+Y164+Z164</f>
        <v>101890</v>
      </c>
      <c r="AB164" s="18">
        <v>0</v>
      </c>
      <c r="AC164" s="15">
        <f>+AA164+AB164</f>
        <v>101890</v>
      </c>
      <c r="AD164" s="15">
        <f>+E164-AC164</f>
        <v>0</v>
      </c>
    </row>
    <row r="165" spans="1:30" ht="15">
      <c r="A165" s="29"/>
      <c r="B165" s="57">
        <v>3941</v>
      </c>
      <c r="C165" s="14" t="s">
        <v>246</v>
      </c>
      <c r="D165" s="18">
        <v>1000000</v>
      </c>
      <c r="E165" s="18">
        <v>1000000</v>
      </c>
      <c r="F165" s="18">
        <v>0</v>
      </c>
      <c r="G165" s="58">
        <f>+F165</f>
        <v>0</v>
      </c>
      <c r="H165" s="18">
        <v>0</v>
      </c>
      <c r="I165" s="58">
        <f>+G165+H165</f>
        <v>0</v>
      </c>
      <c r="J165" s="18">
        <v>1000000</v>
      </c>
      <c r="K165" s="58">
        <f>+I165+J165</f>
        <v>1000000</v>
      </c>
      <c r="L165" s="18">
        <v>0</v>
      </c>
      <c r="M165" s="58">
        <f>+K165+L165</f>
        <v>1000000</v>
      </c>
      <c r="N165" s="18">
        <v>0</v>
      </c>
      <c r="O165" s="58">
        <f>+M165+N165</f>
        <v>1000000</v>
      </c>
      <c r="P165" s="18">
        <v>0</v>
      </c>
      <c r="Q165" s="58">
        <f>+O165+P165</f>
        <v>1000000</v>
      </c>
      <c r="R165" s="18">
        <v>0</v>
      </c>
      <c r="S165" s="58">
        <f>+Q165+R165</f>
        <v>1000000</v>
      </c>
      <c r="T165" s="18">
        <v>0</v>
      </c>
      <c r="U165" s="58">
        <f>+S165+T165</f>
        <v>1000000</v>
      </c>
      <c r="V165" s="18">
        <v>0</v>
      </c>
      <c r="W165" s="58">
        <f>+U165+V165</f>
        <v>1000000</v>
      </c>
      <c r="X165" s="18">
        <v>0</v>
      </c>
      <c r="Y165" s="58">
        <f>+W165+X165</f>
        <v>1000000</v>
      </c>
      <c r="Z165" s="18">
        <v>0</v>
      </c>
      <c r="AA165" s="58">
        <f>+Y165+Z165</f>
        <v>1000000</v>
      </c>
      <c r="AB165" s="18">
        <v>0</v>
      </c>
      <c r="AC165" s="15">
        <f>+AA165+AB165</f>
        <v>1000000</v>
      </c>
      <c r="AD165" s="15">
        <f>+E165-AC165</f>
        <v>0</v>
      </c>
    </row>
    <row r="166" spans="1:30" ht="15.75">
      <c r="A166" s="29"/>
      <c r="B166" s="57">
        <v>3981</v>
      </c>
      <c r="C166" s="14" t="s">
        <v>3</v>
      </c>
      <c r="D166" s="18">
        <v>5370686.53</v>
      </c>
      <c r="E166" s="286">
        <f>5370686.53+13000-13000+6000-6000</f>
        <v>5370686.53</v>
      </c>
      <c r="F166" s="286">
        <f>355227.57+13000-13000</f>
        <v>355227.57</v>
      </c>
      <c r="G166" s="58">
        <f>+F166</f>
        <v>355227.57</v>
      </c>
      <c r="H166" s="286">
        <f>355227.57+15000-15000</f>
        <v>355227.57</v>
      </c>
      <c r="I166" s="58">
        <f>+G166+H166</f>
        <v>710455.14</v>
      </c>
      <c r="J166" s="286">
        <f>393006.53+6000-6000</f>
        <v>393006.53</v>
      </c>
      <c r="K166" s="58">
        <f>+I166+J166</f>
        <v>1103461.67</v>
      </c>
      <c r="L166" s="18">
        <v>355227.57000000007</v>
      </c>
      <c r="M166" s="58">
        <f>+K166+L166</f>
        <v>1458689.24</v>
      </c>
      <c r="N166" s="18">
        <v>355227.57000000007</v>
      </c>
      <c r="O166" s="58">
        <f>+M166+N166</f>
        <v>1813916.81</v>
      </c>
      <c r="P166" s="18">
        <v>393006.5299999999</v>
      </c>
      <c r="Q166" s="58">
        <f>+O166+P166</f>
        <v>2206923.34</v>
      </c>
      <c r="R166" s="18">
        <v>401228.27999999997</v>
      </c>
      <c r="S166" s="58">
        <f>+Q166+R166</f>
        <v>2608151.6199999996</v>
      </c>
      <c r="T166" s="18">
        <v>355227.57000000007</v>
      </c>
      <c r="U166" s="58">
        <f>+S166+T166</f>
        <v>2963379.1899999995</v>
      </c>
      <c r="V166" s="18">
        <v>393006.5299999999</v>
      </c>
      <c r="W166" s="58">
        <f>+U166+V166</f>
        <v>3356385.7199999993</v>
      </c>
      <c r="X166" s="18">
        <v>355227.57000000007</v>
      </c>
      <c r="Y166" s="58">
        <f>+W166+X166</f>
        <v>3711613.289999999</v>
      </c>
      <c r="Z166" s="18">
        <v>355227.57000000007</v>
      </c>
      <c r="AA166" s="58">
        <f>+Y166+Z166</f>
        <v>4066840.8599999994</v>
      </c>
      <c r="AB166" s="18">
        <v>1303845.67</v>
      </c>
      <c r="AC166" s="15">
        <f>+AA166+AB166</f>
        <v>5370686.529999999</v>
      </c>
      <c r="AD166" s="15">
        <f>+E166-AC166</f>
        <v>0</v>
      </c>
    </row>
    <row r="167" spans="1:30" ht="15">
      <c r="A167" s="29"/>
      <c r="B167" s="57">
        <v>3999</v>
      </c>
      <c r="C167" s="14" t="s">
        <v>166</v>
      </c>
      <c r="D167" s="18">
        <v>0</v>
      </c>
      <c r="E167" s="18">
        <v>0</v>
      </c>
      <c r="F167" s="18">
        <v>0</v>
      </c>
      <c r="G167" s="58">
        <f>+F167</f>
        <v>0</v>
      </c>
      <c r="H167" s="18">
        <v>0</v>
      </c>
      <c r="I167" s="58">
        <f>+G167+H167</f>
        <v>0</v>
      </c>
      <c r="J167" s="18">
        <v>0</v>
      </c>
      <c r="K167" s="58">
        <f>+I167+J167</f>
        <v>0</v>
      </c>
      <c r="L167" s="18">
        <v>0</v>
      </c>
      <c r="M167" s="58">
        <f>+K167+L167</f>
        <v>0</v>
      </c>
      <c r="N167" s="18">
        <v>0</v>
      </c>
      <c r="O167" s="58">
        <f>+M167+N167</f>
        <v>0</v>
      </c>
      <c r="P167" s="18">
        <v>0</v>
      </c>
      <c r="Q167" s="58">
        <f>+O167+P167</f>
        <v>0</v>
      </c>
      <c r="R167" s="18">
        <v>0</v>
      </c>
      <c r="S167" s="58">
        <f>+Q167+R167</f>
        <v>0</v>
      </c>
      <c r="T167" s="18">
        <v>0</v>
      </c>
      <c r="U167" s="58">
        <f>+S167+T167</f>
        <v>0</v>
      </c>
      <c r="V167" s="18">
        <v>0</v>
      </c>
      <c r="W167" s="58">
        <f>+U167+V167</f>
        <v>0</v>
      </c>
      <c r="X167" s="18">
        <v>0</v>
      </c>
      <c r="Y167" s="58">
        <f>+W167+X167</f>
        <v>0</v>
      </c>
      <c r="Z167" s="18">
        <v>0</v>
      </c>
      <c r="AA167" s="58">
        <f>+Y167+Z167</f>
        <v>0</v>
      </c>
      <c r="AB167" s="18">
        <v>0</v>
      </c>
      <c r="AC167" s="15">
        <f>+AA167+AB167</f>
        <v>0</v>
      </c>
      <c r="AD167" s="15">
        <f>+E167-AC167</f>
        <v>0</v>
      </c>
    </row>
    <row r="168" spans="1:29" ht="15">
      <c r="A168" s="29"/>
      <c r="B168" s="57"/>
      <c r="C168" s="14"/>
      <c r="D168" s="18"/>
      <c r="E168" s="18"/>
      <c r="F168" s="18"/>
      <c r="G168" s="59"/>
      <c r="H168" s="18"/>
      <c r="I168" s="15"/>
      <c r="J168" s="18"/>
      <c r="K168" s="15"/>
      <c r="L168" s="18"/>
      <c r="M168" s="15"/>
      <c r="N168" s="18"/>
      <c r="O168" s="15"/>
      <c r="P168" s="18"/>
      <c r="Q168" s="15"/>
      <c r="R168" s="18"/>
      <c r="S168" s="15"/>
      <c r="T168" s="18"/>
      <c r="U168" s="15"/>
      <c r="V168" s="18"/>
      <c r="W168" s="15"/>
      <c r="X168" s="18"/>
      <c r="Y168" s="15"/>
      <c r="Z168" s="18"/>
      <c r="AA168" s="15"/>
      <c r="AB168" s="18"/>
      <c r="AC168" s="15"/>
    </row>
    <row r="169" spans="1:30" ht="15.75">
      <c r="A169" s="29"/>
      <c r="B169" s="146"/>
      <c r="C169" s="149"/>
      <c r="D169" s="155"/>
      <c r="E169" s="155"/>
      <c r="F169" s="155"/>
      <c r="G169" s="155"/>
      <c r="H169" s="155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</row>
    <row r="170" spans="1:30" ht="15">
      <c r="A170" s="29"/>
      <c r="B170" s="147"/>
      <c r="C170" s="148"/>
      <c r="D170" s="156"/>
      <c r="E170" s="156"/>
      <c r="F170" s="156"/>
      <c r="G170" s="153"/>
      <c r="H170" s="156"/>
      <c r="I170" s="154"/>
      <c r="J170" s="156"/>
      <c r="K170" s="154"/>
      <c r="L170" s="156"/>
      <c r="M170" s="154"/>
      <c r="N170" s="156"/>
      <c r="O170" s="154"/>
      <c r="P170" s="156"/>
      <c r="Q170" s="154"/>
      <c r="R170" s="156"/>
      <c r="S170" s="154"/>
      <c r="T170" s="156"/>
      <c r="U170" s="154"/>
      <c r="V170" s="156"/>
      <c r="W170" s="154"/>
      <c r="X170" s="156"/>
      <c r="Y170" s="154"/>
      <c r="Z170" s="156"/>
      <c r="AA170" s="154"/>
      <c r="AB170" s="156"/>
      <c r="AC170" s="154"/>
      <c r="AD170" s="157"/>
    </row>
    <row r="171" spans="1:51" ht="15">
      <c r="A171" s="29"/>
      <c r="D171" s="15"/>
      <c r="E171" s="15"/>
      <c r="F171" s="15"/>
      <c r="G171" s="20"/>
      <c r="H171" s="15"/>
      <c r="I171" s="20"/>
      <c r="J171" s="15"/>
      <c r="K171" s="20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41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</row>
    <row r="172" spans="1:51" ht="16.5" thickBot="1">
      <c r="A172" s="29"/>
      <c r="B172" s="84">
        <v>5000</v>
      </c>
      <c r="C172" s="142" t="s">
        <v>168</v>
      </c>
      <c r="D172" s="97">
        <f>+D174+D188+D192</f>
        <v>3436474.5199999996</v>
      </c>
      <c r="E172" s="97">
        <f>+E174+E188+E192</f>
        <v>3436474.5199999996</v>
      </c>
      <c r="F172" s="97">
        <f>+F174+F188+F192</f>
        <v>0</v>
      </c>
      <c r="G172" s="97">
        <f aca="true" t="shared" si="133" ref="G172:AC172">+G174+G188+G192</f>
        <v>0</v>
      </c>
      <c r="H172" s="97">
        <f>+H174+H188+H192</f>
        <v>0</v>
      </c>
      <c r="I172" s="97">
        <f t="shared" si="133"/>
        <v>0</v>
      </c>
      <c r="J172" s="97">
        <f>+J174+J188+J192</f>
        <v>310966.88</v>
      </c>
      <c r="K172" s="97">
        <f t="shared" si="133"/>
        <v>310966.88</v>
      </c>
      <c r="L172" s="97">
        <f>+L174+L188+L192</f>
        <v>0</v>
      </c>
      <c r="M172" s="97">
        <f>+M174+M188+M192</f>
        <v>310966.88</v>
      </c>
      <c r="N172" s="97">
        <f>+N174+N188+N192</f>
        <v>1493981.16</v>
      </c>
      <c r="O172" s="97">
        <f t="shared" si="133"/>
        <v>1804948.04</v>
      </c>
      <c r="P172" s="97">
        <f>+P174+P188+P192</f>
        <v>0</v>
      </c>
      <c r="Q172" s="97">
        <f t="shared" si="133"/>
        <v>1804948.04</v>
      </c>
      <c r="R172" s="97">
        <f>+R174+R188+R192</f>
        <v>0</v>
      </c>
      <c r="S172" s="97">
        <f t="shared" si="133"/>
        <v>1804948.04</v>
      </c>
      <c r="T172" s="97">
        <f>+T174+T188+T192</f>
        <v>0</v>
      </c>
      <c r="U172" s="97">
        <f t="shared" si="133"/>
        <v>1804948.04</v>
      </c>
      <c r="V172" s="97">
        <f>+V174+V188+V192</f>
        <v>0</v>
      </c>
      <c r="W172" s="97">
        <f t="shared" si="133"/>
        <v>1804948.04</v>
      </c>
      <c r="X172" s="97">
        <f>+X174+X188+X192</f>
        <v>0</v>
      </c>
      <c r="Y172" s="97">
        <f t="shared" si="133"/>
        <v>1804948.04</v>
      </c>
      <c r="Z172" s="97">
        <f>+Z174+Z188+Z192</f>
        <v>0</v>
      </c>
      <c r="AA172" s="97">
        <f t="shared" si="133"/>
        <v>1804948.04</v>
      </c>
      <c r="AB172" s="97">
        <f>+AB174+AB188+AB192</f>
        <v>1631526.48</v>
      </c>
      <c r="AC172" s="97">
        <f t="shared" si="133"/>
        <v>3436474.5199999996</v>
      </c>
      <c r="AD172" s="97">
        <f>+AD174+AD188+AD192</f>
        <v>0</v>
      </c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</row>
    <row r="173" spans="1:51" ht="16.5" thickTop="1">
      <c r="A173" s="29"/>
      <c r="D173" s="15"/>
      <c r="E173" s="15"/>
      <c r="F173" s="15"/>
      <c r="G173" s="73"/>
      <c r="H173" s="15"/>
      <c r="I173" s="73"/>
      <c r="J173" s="15"/>
      <c r="K173" s="73"/>
      <c r="L173" s="15"/>
      <c r="M173" s="73"/>
      <c r="N173" s="15"/>
      <c r="O173" s="73"/>
      <c r="P173" s="15"/>
      <c r="Q173" s="73"/>
      <c r="R173" s="15"/>
      <c r="S173" s="73"/>
      <c r="T173" s="15"/>
      <c r="U173" s="73"/>
      <c r="V173" s="15"/>
      <c r="W173" s="73"/>
      <c r="X173" s="15"/>
      <c r="Y173" s="73"/>
      <c r="Z173" s="15"/>
      <c r="AA173" s="73"/>
      <c r="AB173" s="15"/>
      <c r="AC173" s="73"/>
      <c r="AD173" s="85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</row>
    <row r="174" spans="1:51" ht="15.75">
      <c r="A174" s="29"/>
      <c r="B174" s="16">
        <v>5100</v>
      </c>
      <c r="C174" s="77" t="s">
        <v>94</v>
      </c>
      <c r="D174" s="70">
        <f>SUM(D175:D186)</f>
        <v>1942493.3599999999</v>
      </c>
      <c r="E174" s="70">
        <f>SUM(E175:E186)</f>
        <v>1942493.3599999999</v>
      </c>
      <c r="F174" s="70">
        <f>SUM(F175:F186)</f>
        <v>0</v>
      </c>
      <c r="G174" s="70">
        <f aca="true" t="shared" si="134" ref="G174:AC174">SUM(G175:G186)</f>
        <v>0</v>
      </c>
      <c r="H174" s="70">
        <f>SUM(H175:H186)</f>
        <v>0</v>
      </c>
      <c r="I174" s="70">
        <f t="shared" si="134"/>
        <v>0</v>
      </c>
      <c r="J174" s="70">
        <f>SUM(J175:J186)</f>
        <v>310966.88</v>
      </c>
      <c r="K174" s="70">
        <f t="shared" si="134"/>
        <v>310966.88</v>
      </c>
      <c r="L174" s="70">
        <f>SUM(L175:L186)</f>
        <v>0</v>
      </c>
      <c r="M174" s="70">
        <f>SUM(M175:M186)</f>
        <v>310966.88</v>
      </c>
      <c r="N174" s="70">
        <f>SUM(N175:N186)</f>
        <v>0</v>
      </c>
      <c r="O174" s="70">
        <f t="shared" si="134"/>
        <v>310966.88</v>
      </c>
      <c r="P174" s="70">
        <f>SUM(P175:P186)</f>
        <v>0</v>
      </c>
      <c r="Q174" s="70">
        <f t="shared" si="134"/>
        <v>310966.88</v>
      </c>
      <c r="R174" s="70">
        <f>SUM(R175:R186)</f>
        <v>0</v>
      </c>
      <c r="S174" s="70">
        <f t="shared" si="134"/>
        <v>310966.88</v>
      </c>
      <c r="T174" s="70">
        <f>SUM(T175:T186)</f>
        <v>0</v>
      </c>
      <c r="U174" s="70">
        <f t="shared" si="134"/>
        <v>310966.88</v>
      </c>
      <c r="V174" s="70">
        <f>SUM(V175:V186)</f>
        <v>0</v>
      </c>
      <c r="W174" s="70">
        <f t="shared" si="134"/>
        <v>310966.88</v>
      </c>
      <c r="X174" s="70">
        <f>SUM(X175:X186)</f>
        <v>0</v>
      </c>
      <c r="Y174" s="70">
        <f t="shared" si="134"/>
        <v>310966.88</v>
      </c>
      <c r="Z174" s="70">
        <f>SUM(Z175:Z186)</f>
        <v>0</v>
      </c>
      <c r="AA174" s="70">
        <f t="shared" si="134"/>
        <v>310966.88</v>
      </c>
      <c r="AB174" s="70">
        <f>SUM(AB175:AB186)</f>
        <v>1631526.48</v>
      </c>
      <c r="AC174" s="70">
        <f t="shared" si="134"/>
        <v>1942493.3599999999</v>
      </c>
      <c r="AD174" s="70">
        <f>SUM(AD175:AD186)</f>
        <v>0</v>
      </c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</row>
    <row r="175" spans="1:51" ht="15">
      <c r="A175" s="29"/>
      <c r="B175" s="8">
        <v>5111</v>
      </c>
      <c r="C175" s="8" t="s">
        <v>195</v>
      </c>
      <c r="D175" s="18">
        <v>0</v>
      </c>
      <c r="E175" s="18">
        <v>0</v>
      </c>
      <c r="F175" s="18">
        <v>0</v>
      </c>
      <c r="G175" s="58">
        <f aca="true" t="shared" si="135" ref="G175:G186">+F175</f>
        <v>0</v>
      </c>
      <c r="H175" s="18">
        <v>0</v>
      </c>
      <c r="I175" s="58">
        <f aca="true" t="shared" si="136" ref="I175:I186">+G175+H175</f>
        <v>0</v>
      </c>
      <c r="J175" s="18">
        <v>0</v>
      </c>
      <c r="K175" s="58">
        <f aca="true" t="shared" si="137" ref="K175:K186">+I175+J175</f>
        <v>0</v>
      </c>
      <c r="L175" s="18">
        <v>0</v>
      </c>
      <c r="M175" s="58">
        <f aca="true" t="shared" si="138" ref="M175:M186">+K175+L175</f>
        <v>0</v>
      </c>
      <c r="N175" s="18">
        <v>0</v>
      </c>
      <c r="O175" s="58">
        <f aca="true" t="shared" si="139" ref="O175:O186">+M175+N175</f>
        <v>0</v>
      </c>
      <c r="P175" s="18">
        <v>0</v>
      </c>
      <c r="Q175" s="58">
        <f aca="true" t="shared" si="140" ref="Q175:Q186">+O175+P175</f>
        <v>0</v>
      </c>
      <c r="R175" s="18">
        <v>0</v>
      </c>
      <c r="S175" s="58">
        <f aca="true" t="shared" si="141" ref="S175:S186">+Q175+R175</f>
        <v>0</v>
      </c>
      <c r="T175" s="18">
        <v>0</v>
      </c>
      <c r="U175" s="58">
        <f aca="true" t="shared" si="142" ref="U175:U186">+S175+T175</f>
        <v>0</v>
      </c>
      <c r="V175" s="18">
        <v>0</v>
      </c>
      <c r="W175" s="58">
        <f aca="true" t="shared" si="143" ref="W175:W186">+U175+V175</f>
        <v>0</v>
      </c>
      <c r="X175" s="18">
        <v>0</v>
      </c>
      <c r="Y175" s="58">
        <f aca="true" t="shared" si="144" ref="Y175:Y186">+W175+X175</f>
        <v>0</v>
      </c>
      <c r="Z175" s="18">
        <v>0</v>
      </c>
      <c r="AA175" s="58">
        <f aca="true" t="shared" si="145" ref="AA175:AA186">+Y175+Z175</f>
        <v>0</v>
      </c>
      <c r="AB175" s="18">
        <v>0</v>
      </c>
      <c r="AC175" s="15">
        <f aca="true" t="shared" si="146" ref="AC175:AC186">+AA175+AB175</f>
        <v>0</v>
      </c>
      <c r="AD175" s="15">
        <f aca="true" t="shared" si="147" ref="AD175:AD186">+E175-AC175</f>
        <v>0</v>
      </c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</row>
    <row r="176" spans="1:51" ht="15">
      <c r="A176" s="29"/>
      <c r="B176" s="8">
        <v>5121</v>
      </c>
      <c r="C176" s="8" t="s">
        <v>282</v>
      </c>
      <c r="D176" s="18">
        <v>0</v>
      </c>
      <c r="E176" s="18">
        <v>0</v>
      </c>
      <c r="F176" s="18">
        <v>0</v>
      </c>
      <c r="G176" s="58">
        <f>+F176</f>
        <v>0</v>
      </c>
      <c r="H176" s="18">
        <v>0</v>
      </c>
      <c r="I176" s="58">
        <f>+G176+H176</f>
        <v>0</v>
      </c>
      <c r="J176" s="18">
        <v>0</v>
      </c>
      <c r="K176" s="58">
        <f>+I176+J176</f>
        <v>0</v>
      </c>
      <c r="L176" s="18">
        <v>0</v>
      </c>
      <c r="M176" s="58">
        <f>+K176+L176</f>
        <v>0</v>
      </c>
      <c r="N176" s="18">
        <v>0</v>
      </c>
      <c r="O176" s="58">
        <f t="shared" si="139"/>
        <v>0</v>
      </c>
      <c r="P176" s="18">
        <v>0</v>
      </c>
      <c r="Q176" s="58">
        <f t="shared" si="140"/>
        <v>0</v>
      </c>
      <c r="R176" s="18">
        <v>0</v>
      </c>
      <c r="S176" s="58">
        <f t="shared" si="141"/>
        <v>0</v>
      </c>
      <c r="T176" s="18">
        <v>0</v>
      </c>
      <c r="U176" s="58">
        <f t="shared" si="142"/>
        <v>0</v>
      </c>
      <c r="V176" s="18">
        <v>0</v>
      </c>
      <c r="W176" s="58">
        <f t="shared" si="143"/>
        <v>0</v>
      </c>
      <c r="X176" s="18">
        <v>0</v>
      </c>
      <c r="Y176" s="58">
        <f t="shared" si="144"/>
        <v>0</v>
      </c>
      <c r="Z176" s="18">
        <v>0</v>
      </c>
      <c r="AA176" s="58">
        <f t="shared" si="145"/>
        <v>0</v>
      </c>
      <c r="AB176" s="18">
        <v>0</v>
      </c>
      <c r="AC176" s="15">
        <f>+AA176+AB176</f>
        <v>0</v>
      </c>
      <c r="AD176" s="15">
        <f t="shared" si="147"/>
        <v>0</v>
      </c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</row>
    <row r="177" spans="1:51" ht="15">
      <c r="A177" s="29"/>
      <c r="B177" s="8">
        <v>5151</v>
      </c>
      <c r="C177" s="8" t="s">
        <v>225</v>
      </c>
      <c r="D177" s="18">
        <v>806253.11</v>
      </c>
      <c r="E177" s="18">
        <v>806253.11</v>
      </c>
      <c r="F177" s="18">
        <v>0</v>
      </c>
      <c r="G177" s="58">
        <f t="shared" si="135"/>
        <v>0</v>
      </c>
      <c r="H177" s="18">
        <v>0</v>
      </c>
      <c r="I177" s="58">
        <f t="shared" si="136"/>
        <v>0</v>
      </c>
      <c r="J177" s="18">
        <v>124492.4</v>
      </c>
      <c r="K177" s="58">
        <f t="shared" si="137"/>
        <v>124492.4</v>
      </c>
      <c r="L177" s="18">
        <v>0</v>
      </c>
      <c r="M177" s="58">
        <f t="shared" si="138"/>
        <v>124492.4</v>
      </c>
      <c r="N177" s="18">
        <v>0</v>
      </c>
      <c r="O177" s="58">
        <f t="shared" si="139"/>
        <v>124492.4</v>
      </c>
      <c r="P177" s="18">
        <v>0</v>
      </c>
      <c r="Q177" s="58">
        <f t="shared" si="140"/>
        <v>124492.4</v>
      </c>
      <c r="R177" s="18">
        <v>0</v>
      </c>
      <c r="S177" s="58">
        <f t="shared" si="141"/>
        <v>124492.4</v>
      </c>
      <c r="T177" s="18">
        <v>0</v>
      </c>
      <c r="U177" s="58">
        <f t="shared" si="142"/>
        <v>124492.4</v>
      </c>
      <c r="V177" s="18">
        <v>0</v>
      </c>
      <c r="W177" s="58">
        <f t="shared" si="143"/>
        <v>124492.4</v>
      </c>
      <c r="X177" s="18">
        <v>0</v>
      </c>
      <c r="Y177" s="58">
        <f t="shared" si="144"/>
        <v>124492.4</v>
      </c>
      <c r="Z177" s="18">
        <v>0</v>
      </c>
      <c r="AA177" s="58">
        <f t="shared" si="145"/>
        <v>124492.4</v>
      </c>
      <c r="AB177" s="18">
        <v>681760.71</v>
      </c>
      <c r="AC177" s="15">
        <f t="shared" si="146"/>
        <v>806253.11</v>
      </c>
      <c r="AD177" s="15">
        <f t="shared" si="147"/>
        <v>0</v>
      </c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</row>
    <row r="178" spans="1:51" ht="15">
      <c r="A178" s="29"/>
      <c r="B178" s="8">
        <v>5191</v>
      </c>
      <c r="C178" s="8" t="s">
        <v>196</v>
      </c>
      <c r="D178" s="18">
        <v>996840.25</v>
      </c>
      <c r="E178" s="18">
        <v>996840.25</v>
      </c>
      <c r="F178" s="18">
        <v>0</v>
      </c>
      <c r="G178" s="58">
        <f>+F178</f>
        <v>0</v>
      </c>
      <c r="H178" s="18">
        <v>0</v>
      </c>
      <c r="I178" s="58">
        <f>+G178+H178</f>
        <v>0</v>
      </c>
      <c r="J178" s="18">
        <v>47074.48</v>
      </c>
      <c r="K178" s="58">
        <f>+I178+J178</f>
        <v>47074.48</v>
      </c>
      <c r="L178" s="18">
        <v>0</v>
      </c>
      <c r="M178" s="58">
        <f>+K178+L178</f>
        <v>47074.48</v>
      </c>
      <c r="N178" s="18">
        <v>0</v>
      </c>
      <c r="O178" s="58">
        <f t="shared" si="139"/>
        <v>47074.48</v>
      </c>
      <c r="P178" s="18">
        <v>0</v>
      </c>
      <c r="Q178" s="58">
        <f t="shared" si="140"/>
        <v>47074.48</v>
      </c>
      <c r="R178" s="18">
        <v>0</v>
      </c>
      <c r="S178" s="58">
        <f t="shared" si="141"/>
        <v>47074.48</v>
      </c>
      <c r="T178" s="18">
        <v>0</v>
      </c>
      <c r="U178" s="58">
        <f t="shared" si="142"/>
        <v>47074.48</v>
      </c>
      <c r="V178" s="18">
        <v>0</v>
      </c>
      <c r="W178" s="58">
        <f t="shared" si="143"/>
        <v>47074.48</v>
      </c>
      <c r="X178" s="18">
        <v>0</v>
      </c>
      <c r="Y178" s="58">
        <f t="shared" si="144"/>
        <v>47074.48</v>
      </c>
      <c r="Z178" s="18">
        <v>0</v>
      </c>
      <c r="AA178" s="58">
        <f t="shared" si="145"/>
        <v>47074.48</v>
      </c>
      <c r="AB178" s="18">
        <v>949765.77</v>
      </c>
      <c r="AC178" s="15">
        <f t="shared" si="146"/>
        <v>996840.25</v>
      </c>
      <c r="AD178" s="15">
        <f t="shared" si="147"/>
        <v>0</v>
      </c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</row>
    <row r="179" spans="1:51" ht="15">
      <c r="A179" s="29"/>
      <c r="B179" s="8">
        <v>5211</v>
      </c>
      <c r="C179" s="8" t="s">
        <v>236</v>
      </c>
      <c r="D179" s="18">
        <v>0</v>
      </c>
      <c r="E179" s="18">
        <v>0</v>
      </c>
      <c r="F179" s="18">
        <v>0</v>
      </c>
      <c r="G179" s="58">
        <f>+F179</f>
        <v>0</v>
      </c>
      <c r="H179" s="18">
        <v>0</v>
      </c>
      <c r="I179" s="58">
        <f>+G179+H179</f>
        <v>0</v>
      </c>
      <c r="J179" s="18">
        <v>0</v>
      </c>
      <c r="K179" s="58">
        <f>+I179+J179</f>
        <v>0</v>
      </c>
      <c r="L179" s="18">
        <v>0</v>
      </c>
      <c r="M179" s="58">
        <f>+K179+L179</f>
        <v>0</v>
      </c>
      <c r="N179" s="18">
        <v>0</v>
      </c>
      <c r="O179" s="58">
        <f t="shared" si="139"/>
        <v>0</v>
      </c>
      <c r="P179" s="18">
        <v>0</v>
      </c>
      <c r="Q179" s="58">
        <f t="shared" si="140"/>
        <v>0</v>
      </c>
      <c r="R179" s="18">
        <v>0</v>
      </c>
      <c r="S179" s="58">
        <f t="shared" si="141"/>
        <v>0</v>
      </c>
      <c r="T179" s="18">
        <v>0</v>
      </c>
      <c r="U179" s="58">
        <f t="shared" si="142"/>
        <v>0</v>
      </c>
      <c r="V179" s="18">
        <v>0</v>
      </c>
      <c r="W179" s="58">
        <f t="shared" si="143"/>
        <v>0</v>
      </c>
      <c r="X179" s="18">
        <v>0</v>
      </c>
      <c r="Y179" s="58">
        <f t="shared" si="144"/>
        <v>0</v>
      </c>
      <c r="Z179" s="18">
        <v>0</v>
      </c>
      <c r="AA179" s="58">
        <f t="shared" si="145"/>
        <v>0</v>
      </c>
      <c r="AB179" s="18">
        <v>0</v>
      </c>
      <c r="AC179" s="15">
        <f>+AA179+AB179</f>
        <v>0</v>
      </c>
      <c r="AD179" s="15">
        <f t="shared" si="147"/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</row>
    <row r="180" spans="1:51" ht="15">
      <c r="A180" s="29"/>
      <c r="B180" s="8">
        <v>5231</v>
      </c>
      <c r="C180" s="8" t="s">
        <v>244</v>
      </c>
      <c r="D180" s="18">
        <v>139400</v>
      </c>
      <c r="E180" s="18">
        <v>139400</v>
      </c>
      <c r="F180" s="18">
        <v>0</v>
      </c>
      <c r="G180" s="15">
        <f>+F180</f>
        <v>0</v>
      </c>
      <c r="H180" s="18">
        <v>0</v>
      </c>
      <c r="I180" s="15">
        <f t="shared" si="136"/>
        <v>0</v>
      </c>
      <c r="J180" s="18">
        <v>139400</v>
      </c>
      <c r="K180" s="58">
        <f>+I180+J180</f>
        <v>139400</v>
      </c>
      <c r="L180" s="18">
        <v>0</v>
      </c>
      <c r="M180" s="58">
        <f>+K180+L180</f>
        <v>139400</v>
      </c>
      <c r="N180" s="18">
        <v>0</v>
      </c>
      <c r="O180" s="58">
        <f t="shared" si="139"/>
        <v>139400</v>
      </c>
      <c r="P180" s="18">
        <v>0</v>
      </c>
      <c r="Q180" s="58">
        <f t="shared" si="140"/>
        <v>139400</v>
      </c>
      <c r="R180" s="18">
        <v>0</v>
      </c>
      <c r="S180" s="58">
        <f>+Q180+R180</f>
        <v>139400</v>
      </c>
      <c r="T180" s="18">
        <v>0</v>
      </c>
      <c r="U180" s="58">
        <f>+S180+T180</f>
        <v>139400</v>
      </c>
      <c r="V180" s="18">
        <v>0</v>
      </c>
      <c r="W180" s="58">
        <f t="shared" si="143"/>
        <v>139400</v>
      </c>
      <c r="X180" s="18">
        <v>0</v>
      </c>
      <c r="Y180" s="58">
        <f t="shared" si="144"/>
        <v>139400</v>
      </c>
      <c r="Z180" s="18">
        <v>0</v>
      </c>
      <c r="AA180" s="58">
        <f t="shared" si="145"/>
        <v>139400</v>
      </c>
      <c r="AB180" s="18">
        <v>0</v>
      </c>
      <c r="AC180" s="15">
        <f>+AA180+AB180</f>
        <v>139400</v>
      </c>
      <c r="AD180" s="15">
        <f t="shared" si="147"/>
        <v>0</v>
      </c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</row>
    <row r="181" spans="1:51" ht="15">
      <c r="A181" s="29"/>
      <c r="B181" s="8">
        <v>5413</v>
      </c>
      <c r="C181" s="8" t="s">
        <v>226</v>
      </c>
      <c r="D181" s="18">
        <v>0</v>
      </c>
      <c r="E181" s="18">
        <v>0</v>
      </c>
      <c r="F181" s="18">
        <v>0</v>
      </c>
      <c r="G181" s="15">
        <f t="shared" si="135"/>
        <v>0</v>
      </c>
      <c r="H181" s="18">
        <v>0</v>
      </c>
      <c r="I181" s="15">
        <f t="shared" si="136"/>
        <v>0</v>
      </c>
      <c r="J181" s="18">
        <v>0</v>
      </c>
      <c r="K181" s="15">
        <f t="shared" si="137"/>
        <v>0</v>
      </c>
      <c r="L181" s="18">
        <v>0</v>
      </c>
      <c r="M181" s="58">
        <f>+K181+L181</f>
        <v>0</v>
      </c>
      <c r="N181" s="18">
        <v>0</v>
      </c>
      <c r="O181" s="58">
        <f t="shared" si="139"/>
        <v>0</v>
      </c>
      <c r="P181" s="18">
        <v>0</v>
      </c>
      <c r="Q181" s="58">
        <f t="shared" si="140"/>
        <v>0</v>
      </c>
      <c r="R181" s="18">
        <v>0</v>
      </c>
      <c r="S181" s="58">
        <f t="shared" si="141"/>
        <v>0</v>
      </c>
      <c r="T181" s="18">
        <v>0</v>
      </c>
      <c r="U181" s="58">
        <f t="shared" si="142"/>
        <v>0</v>
      </c>
      <c r="V181" s="18">
        <v>0</v>
      </c>
      <c r="W181" s="58">
        <f t="shared" si="143"/>
        <v>0</v>
      </c>
      <c r="X181" s="18">
        <v>0</v>
      </c>
      <c r="Y181" s="58">
        <f t="shared" si="144"/>
        <v>0</v>
      </c>
      <c r="Z181" s="18">
        <v>0</v>
      </c>
      <c r="AA181" s="58">
        <f t="shared" si="145"/>
        <v>0</v>
      </c>
      <c r="AB181" s="18">
        <v>0</v>
      </c>
      <c r="AC181" s="15">
        <f t="shared" si="146"/>
        <v>0</v>
      </c>
      <c r="AD181" s="15">
        <f t="shared" si="147"/>
        <v>0</v>
      </c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</row>
    <row r="182" spans="1:51" ht="15">
      <c r="A182" s="29"/>
      <c r="B182" s="8">
        <v>5621</v>
      </c>
      <c r="C182" s="8" t="s">
        <v>277</v>
      </c>
      <c r="D182" s="18">
        <v>0</v>
      </c>
      <c r="E182" s="18">
        <v>0</v>
      </c>
      <c r="F182" s="18">
        <v>0</v>
      </c>
      <c r="G182" s="15">
        <f>+F182</f>
        <v>0</v>
      </c>
      <c r="H182" s="18">
        <v>0</v>
      </c>
      <c r="I182" s="15">
        <f>+G182+H182</f>
        <v>0</v>
      </c>
      <c r="J182" s="18">
        <v>0</v>
      </c>
      <c r="K182" s="15">
        <f t="shared" si="137"/>
        <v>0</v>
      </c>
      <c r="L182" s="18">
        <v>0</v>
      </c>
      <c r="M182" s="58">
        <f t="shared" si="138"/>
        <v>0</v>
      </c>
      <c r="N182" s="18">
        <v>0</v>
      </c>
      <c r="O182" s="58">
        <f t="shared" si="139"/>
        <v>0</v>
      </c>
      <c r="P182" s="18">
        <v>0</v>
      </c>
      <c r="Q182" s="58">
        <f t="shared" si="140"/>
        <v>0</v>
      </c>
      <c r="R182" s="18">
        <v>0</v>
      </c>
      <c r="S182" s="58">
        <f t="shared" si="141"/>
        <v>0</v>
      </c>
      <c r="T182" s="18">
        <v>0</v>
      </c>
      <c r="U182" s="58">
        <f t="shared" si="142"/>
        <v>0</v>
      </c>
      <c r="V182" s="18">
        <v>0</v>
      </c>
      <c r="W182" s="58">
        <f t="shared" si="143"/>
        <v>0</v>
      </c>
      <c r="X182" s="18">
        <v>0</v>
      </c>
      <c r="Y182" s="58">
        <f t="shared" si="144"/>
        <v>0</v>
      </c>
      <c r="Z182" s="18">
        <v>0</v>
      </c>
      <c r="AA182" s="58">
        <f t="shared" si="145"/>
        <v>0</v>
      </c>
      <c r="AB182" s="18">
        <v>0</v>
      </c>
      <c r="AC182" s="15">
        <f>+AA182+AB182</f>
        <v>0</v>
      </c>
      <c r="AD182" s="15">
        <f>+E182-AC182</f>
        <v>0</v>
      </c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</row>
    <row r="183" spans="1:51" ht="15">
      <c r="A183" s="29"/>
      <c r="B183" s="8">
        <v>5641</v>
      </c>
      <c r="C183" s="8" t="s">
        <v>197</v>
      </c>
      <c r="D183" s="18">
        <v>0</v>
      </c>
      <c r="E183" s="18">
        <v>0</v>
      </c>
      <c r="F183" s="18">
        <v>0</v>
      </c>
      <c r="G183" s="58">
        <f t="shared" si="135"/>
        <v>0</v>
      </c>
      <c r="H183" s="18">
        <v>0</v>
      </c>
      <c r="I183" s="58">
        <f t="shared" si="136"/>
        <v>0</v>
      </c>
      <c r="J183" s="18">
        <v>0</v>
      </c>
      <c r="K183" s="58">
        <f t="shared" si="137"/>
        <v>0</v>
      </c>
      <c r="L183" s="18">
        <v>0</v>
      </c>
      <c r="M183" s="58">
        <f t="shared" si="138"/>
        <v>0</v>
      </c>
      <c r="N183" s="18">
        <v>0</v>
      </c>
      <c r="O183" s="58">
        <f t="shared" si="139"/>
        <v>0</v>
      </c>
      <c r="P183" s="18">
        <v>0</v>
      </c>
      <c r="Q183" s="58">
        <f t="shared" si="140"/>
        <v>0</v>
      </c>
      <c r="R183" s="18">
        <v>0</v>
      </c>
      <c r="S183" s="58">
        <f t="shared" si="141"/>
        <v>0</v>
      </c>
      <c r="T183" s="18">
        <v>0</v>
      </c>
      <c r="U183" s="58">
        <f t="shared" si="142"/>
        <v>0</v>
      </c>
      <c r="V183" s="18">
        <v>0</v>
      </c>
      <c r="W183" s="58">
        <f t="shared" si="143"/>
        <v>0</v>
      </c>
      <c r="X183" s="18">
        <v>0</v>
      </c>
      <c r="Y183" s="58">
        <f t="shared" si="144"/>
        <v>0</v>
      </c>
      <c r="Z183" s="18">
        <v>0</v>
      </c>
      <c r="AA183" s="58">
        <f t="shared" si="145"/>
        <v>0</v>
      </c>
      <c r="AB183" s="18">
        <v>0</v>
      </c>
      <c r="AC183" s="15">
        <f t="shared" si="146"/>
        <v>0</v>
      </c>
      <c r="AD183" s="15">
        <f t="shared" si="147"/>
        <v>0</v>
      </c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</row>
    <row r="184" spans="1:51" ht="15">
      <c r="A184" s="29"/>
      <c r="B184" s="8">
        <v>5651</v>
      </c>
      <c r="C184" s="8" t="s">
        <v>227</v>
      </c>
      <c r="D184" s="18">
        <v>0</v>
      </c>
      <c r="E184" s="18">
        <v>0</v>
      </c>
      <c r="F184" s="18">
        <v>0</v>
      </c>
      <c r="G184" s="58">
        <f t="shared" si="135"/>
        <v>0</v>
      </c>
      <c r="H184" s="18">
        <v>0</v>
      </c>
      <c r="I184" s="58">
        <f t="shared" si="136"/>
        <v>0</v>
      </c>
      <c r="J184" s="18">
        <v>0</v>
      </c>
      <c r="K184" s="58">
        <f t="shared" si="137"/>
        <v>0</v>
      </c>
      <c r="L184" s="18">
        <v>0</v>
      </c>
      <c r="M184" s="58">
        <f t="shared" si="138"/>
        <v>0</v>
      </c>
      <c r="N184" s="18">
        <v>0</v>
      </c>
      <c r="O184" s="58">
        <f t="shared" si="139"/>
        <v>0</v>
      </c>
      <c r="P184" s="18">
        <v>0</v>
      </c>
      <c r="Q184" s="58">
        <f t="shared" si="140"/>
        <v>0</v>
      </c>
      <c r="R184" s="18">
        <v>0</v>
      </c>
      <c r="S184" s="58">
        <f t="shared" si="141"/>
        <v>0</v>
      </c>
      <c r="T184" s="18">
        <v>0</v>
      </c>
      <c r="U184" s="58">
        <f t="shared" si="142"/>
        <v>0</v>
      </c>
      <c r="V184" s="18">
        <v>0</v>
      </c>
      <c r="W184" s="58">
        <f t="shared" si="143"/>
        <v>0</v>
      </c>
      <c r="X184" s="18">
        <v>0</v>
      </c>
      <c r="Y184" s="58">
        <f t="shared" si="144"/>
        <v>0</v>
      </c>
      <c r="Z184" s="18">
        <v>0</v>
      </c>
      <c r="AA184" s="58">
        <f t="shared" si="145"/>
        <v>0</v>
      </c>
      <c r="AB184" s="18">
        <v>0</v>
      </c>
      <c r="AC184" s="15">
        <f t="shared" si="146"/>
        <v>0</v>
      </c>
      <c r="AD184" s="15">
        <f t="shared" si="147"/>
        <v>0</v>
      </c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</row>
    <row r="185" spans="1:51" ht="15">
      <c r="A185" s="29"/>
      <c r="B185" s="8">
        <v>5671</v>
      </c>
      <c r="C185" s="8" t="s">
        <v>228</v>
      </c>
      <c r="D185" s="18">
        <v>0</v>
      </c>
      <c r="E185" s="18">
        <v>0</v>
      </c>
      <c r="F185" s="18">
        <v>0</v>
      </c>
      <c r="G185" s="58">
        <f t="shared" si="135"/>
        <v>0</v>
      </c>
      <c r="H185" s="18">
        <v>0</v>
      </c>
      <c r="I185" s="58">
        <f t="shared" si="136"/>
        <v>0</v>
      </c>
      <c r="J185" s="18">
        <v>0</v>
      </c>
      <c r="K185" s="58">
        <f t="shared" si="137"/>
        <v>0</v>
      </c>
      <c r="L185" s="18">
        <v>0</v>
      </c>
      <c r="M185" s="58">
        <f t="shared" si="138"/>
        <v>0</v>
      </c>
      <c r="N185" s="18">
        <v>0</v>
      </c>
      <c r="O185" s="58">
        <f t="shared" si="139"/>
        <v>0</v>
      </c>
      <c r="P185" s="18">
        <v>0</v>
      </c>
      <c r="Q185" s="58">
        <f t="shared" si="140"/>
        <v>0</v>
      </c>
      <c r="R185" s="18">
        <v>0</v>
      </c>
      <c r="S185" s="58">
        <f t="shared" si="141"/>
        <v>0</v>
      </c>
      <c r="T185" s="18">
        <v>0</v>
      </c>
      <c r="U185" s="58">
        <f t="shared" si="142"/>
        <v>0</v>
      </c>
      <c r="V185" s="18">
        <v>0</v>
      </c>
      <c r="W185" s="58">
        <f t="shared" si="143"/>
        <v>0</v>
      </c>
      <c r="X185" s="18">
        <v>0</v>
      </c>
      <c r="Y185" s="58">
        <f t="shared" si="144"/>
        <v>0</v>
      </c>
      <c r="Z185" s="18">
        <v>0</v>
      </c>
      <c r="AA185" s="58">
        <f t="shared" si="145"/>
        <v>0</v>
      </c>
      <c r="AB185" s="18">
        <v>0</v>
      </c>
      <c r="AC185" s="15">
        <f t="shared" si="146"/>
        <v>0</v>
      </c>
      <c r="AD185" s="15">
        <f t="shared" si="147"/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</row>
    <row r="186" spans="1:51" ht="15">
      <c r="A186" s="29"/>
      <c r="B186" s="8">
        <v>5691</v>
      </c>
      <c r="C186" s="8" t="s">
        <v>233</v>
      </c>
      <c r="D186" s="18">
        <v>0</v>
      </c>
      <c r="E186" s="18">
        <v>0</v>
      </c>
      <c r="F186" s="18">
        <v>0</v>
      </c>
      <c r="G186" s="58">
        <f t="shared" si="135"/>
        <v>0</v>
      </c>
      <c r="H186" s="18">
        <v>0</v>
      </c>
      <c r="I186" s="58">
        <f t="shared" si="136"/>
        <v>0</v>
      </c>
      <c r="J186" s="18">
        <v>0</v>
      </c>
      <c r="K186" s="58">
        <f t="shared" si="137"/>
        <v>0</v>
      </c>
      <c r="L186" s="18">
        <v>0</v>
      </c>
      <c r="M186" s="58">
        <f t="shared" si="138"/>
        <v>0</v>
      </c>
      <c r="N186" s="18">
        <v>0</v>
      </c>
      <c r="O186" s="58">
        <f t="shared" si="139"/>
        <v>0</v>
      </c>
      <c r="P186" s="18">
        <v>0</v>
      </c>
      <c r="Q186" s="58">
        <f t="shared" si="140"/>
        <v>0</v>
      </c>
      <c r="R186" s="18">
        <v>0</v>
      </c>
      <c r="S186" s="58">
        <f t="shared" si="141"/>
        <v>0</v>
      </c>
      <c r="T186" s="18">
        <v>0</v>
      </c>
      <c r="U186" s="58">
        <f t="shared" si="142"/>
        <v>0</v>
      </c>
      <c r="V186" s="18">
        <v>0</v>
      </c>
      <c r="W186" s="58">
        <f t="shared" si="143"/>
        <v>0</v>
      </c>
      <c r="X186" s="18">
        <v>0</v>
      </c>
      <c r="Y186" s="58">
        <f t="shared" si="144"/>
        <v>0</v>
      </c>
      <c r="Z186" s="18">
        <v>0</v>
      </c>
      <c r="AA186" s="58">
        <f t="shared" si="145"/>
        <v>0</v>
      </c>
      <c r="AB186" s="18">
        <v>0</v>
      </c>
      <c r="AC186" s="15">
        <f t="shared" si="146"/>
        <v>0</v>
      </c>
      <c r="AD186" s="15">
        <f t="shared" si="147"/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</row>
    <row r="187" spans="1:51" ht="15">
      <c r="A187" s="29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41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</row>
    <row r="188" spans="1:51" ht="15.75">
      <c r="A188" s="29"/>
      <c r="C188" s="77" t="s">
        <v>169</v>
      </c>
      <c r="D188" s="70">
        <f>SUM(D189:D190)</f>
        <v>0</v>
      </c>
      <c r="E188" s="70">
        <f>SUM(E189:E190)</f>
        <v>0</v>
      </c>
      <c r="F188" s="70">
        <f>SUM(F189:F190)</f>
        <v>0</v>
      </c>
      <c r="G188" s="70">
        <f aca="true" t="shared" si="148" ref="G188:AC188">SUM(G189:G190)</f>
        <v>0</v>
      </c>
      <c r="H188" s="70">
        <f>SUM(H189:H190)</f>
        <v>0</v>
      </c>
      <c r="I188" s="70">
        <f t="shared" si="148"/>
        <v>0</v>
      </c>
      <c r="J188" s="70">
        <f>SUM(J189:J190)</f>
        <v>0</v>
      </c>
      <c r="K188" s="70">
        <f t="shared" si="148"/>
        <v>0</v>
      </c>
      <c r="L188" s="70">
        <f>SUM(L189:L190)</f>
        <v>0</v>
      </c>
      <c r="M188" s="70">
        <f t="shared" si="148"/>
        <v>0</v>
      </c>
      <c r="N188" s="70">
        <f>SUM(N189:N190)</f>
        <v>0</v>
      </c>
      <c r="O188" s="70">
        <f t="shared" si="148"/>
        <v>0</v>
      </c>
      <c r="P188" s="70">
        <f>SUM(P189:P190)</f>
        <v>0</v>
      </c>
      <c r="Q188" s="70">
        <f t="shared" si="148"/>
        <v>0</v>
      </c>
      <c r="R188" s="70">
        <f>SUM(R189:R190)</f>
        <v>0</v>
      </c>
      <c r="S188" s="70">
        <f t="shared" si="148"/>
        <v>0</v>
      </c>
      <c r="T188" s="70">
        <f>SUM(T189:T190)</f>
        <v>0</v>
      </c>
      <c r="U188" s="70">
        <f t="shared" si="148"/>
        <v>0</v>
      </c>
      <c r="V188" s="70">
        <f>SUM(V189:V190)</f>
        <v>0</v>
      </c>
      <c r="W188" s="70">
        <f t="shared" si="148"/>
        <v>0</v>
      </c>
      <c r="X188" s="70">
        <f>SUM(X189:X190)</f>
        <v>0</v>
      </c>
      <c r="Y188" s="70">
        <f t="shared" si="148"/>
        <v>0</v>
      </c>
      <c r="Z188" s="70">
        <f>SUM(Z189:Z190)</f>
        <v>0</v>
      </c>
      <c r="AA188" s="70">
        <f t="shared" si="148"/>
        <v>0</v>
      </c>
      <c r="AB188" s="70">
        <f>SUM(AB189:AB190)</f>
        <v>0</v>
      </c>
      <c r="AC188" s="70">
        <f t="shared" si="148"/>
        <v>0</v>
      </c>
      <c r="AD188" s="70">
        <f>SUM(AD189:AD190)</f>
        <v>0</v>
      </c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</row>
    <row r="189" spans="1:51" ht="15">
      <c r="A189" s="29"/>
      <c r="B189" s="8">
        <v>5800</v>
      </c>
      <c r="C189" s="8" t="s">
        <v>170</v>
      </c>
      <c r="D189" s="18">
        <v>0</v>
      </c>
      <c r="E189" s="18">
        <v>0</v>
      </c>
      <c r="F189" s="18">
        <v>0</v>
      </c>
      <c r="G189" s="58">
        <f>+F189</f>
        <v>0</v>
      </c>
      <c r="H189" s="18">
        <v>0</v>
      </c>
      <c r="I189" s="58">
        <f>+G189+H189</f>
        <v>0</v>
      </c>
      <c r="J189" s="18">
        <v>0</v>
      </c>
      <c r="K189" s="58">
        <f>+I189+J189</f>
        <v>0</v>
      </c>
      <c r="L189" s="18">
        <v>0</v>
      </c>
      <c r="M189" s="58">
        <f>+K189+L189</f>
        <v>0</v>
      </c>
      <c r="N189" s="18">
        <v>0</v>
      </c>
      <c r="O189" s="58">
        <f>+M189+N189</f>
        <v>0</v>
      </c>
      <c r="P189" s="18">
        <v>0</v>
      </c>
      <c r="Q189" s="58">
        <f>+O189+P189</f>
        <v>0</v>
      </c>
      <c r="R189" s="18">
        <v>0</v>
      </c>
      <c r="S189" s="58">
        <f>+Q189+R189</f>
        <v>0</v>
      </c>
      <c r="T189" s="18">
        <v>0</v>
      </c>
      <c r="U189" s="58">
        <f>+S189+T189</f>
        <v>0</v>
      </c>
      <c r="V189" s="18">
        <v>0</v>
      </c>
      <c r="W189" s="58">
        <f>+U189+V189</f>
        <v>0</v>
      </c>
      <c r="X189" s="18">
        <v>0</v>
      </c>
      <c r="Y189" s="58">
        <f>+W189+X189</f>
        <v>0</v>
      </c>
      <c r="Z189" s="18">
        <v>0</v>
      </c>
      <c r="AA189" s="58">
        <f>+Y189+Z189</f>
        <v>0</v>
      </c>
      <c r="AB189" s="18">
        <v>0</v>
      </c>
      <c r="AC189" s="15">
        <f>+AA189+AB189</f>
        <v>0</v>
      </c>
      <c r="AD189" s="15">
        <f>+E189-AC189</f>
        <v>0</v>
      </c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</row>
    <row r="190" spans="1:51" ht="15">
      <c r="A190" s="29"/>
      <c r="B190" s="8">
        <v>5831</v>
      </c>
      <c r="C190" s="14" t="s">
        <v>171</v>
      </c>
      <c r="D190" s="18">
        <v>0</v>
      </c>
      <c r="E190" s="18">
        <v>0</v>
      </c>
      <c r="F190" s="18">
        <v>0</v>
      </c>
      <c r="G190" s="58">
        <f>+F190</f>
        <v>0</v>
      </c>
      <c r="H190" s="18">
        <v>0</v>
      </c>
      <c r="I190" s="58">
        <f>+G190+H190</f>
        <v>0</v>
      </c>
      <c r="J190" s="18">
        <v>0</v>
      </c>
      <c r="K190" s="58">
        <f>+I190+J190</f>
        <v>0</v>
      </c>
      <c r="L190" s="18">
        <v>0</v>
      </c>
      <c r="M190" s="58">
        <f>+K190+L190</f>
        <v>0</v>
      </c>
      <c r="N190" s="18">
        <v>0</v>
      </c>
      <c r="O190" s="58">
        <f>+M190+N190</f>
        <v>0</v>
      </c>
      <c r="P190" s="18">
        <v>0</v>
      </c>
      <c r="Q190" s="58">
        <f>+O190+P190</f>
        <v>0</v>
      </c>
      <c r="R190" s="18">
        <v>0</v>
      </c>
      <c r="S190" s="58">
        <f>+Q190+R190</f>
        <v>0</v>
      </c>
      <c r="T190" s="18">
        <v>0</v>
      </c>
      <c r="U190" s="58">
        <f>+S190+T190</f>
        <v>0</v>
      </c>
      <c r="V190" s="18">
        <v>0</v>
      </c>
      <c r="W190" s="58">
        <f>+U190+V190</f>
        <v>0</v>
      </c>
      <c r="X190" s="18">
        <v>0</v>
      </c>
      <c r="Y190" s="58">
        <f>+W190+X190</f>
        <v>0</v>
      </c>
      <c r="Z190" s="18">
        <v>0</v>
      </c>
      <c r="AA190" s="58">
        <f>+Y190+Z190</f>
        <v>0</v>
      </c>
      <c r="AB190" s="18">
        <v>0</v>
      </c>
      <c r="AC190" s="15">
        <f>+AA190+AB190</f>
        <v>0</v>
      </c>
      <c r="AD190" s="15">
        <f>+E190-AC190</f>
        <v>0</v>
      </c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</row>
    <row r="191" spans="1:51" ht="15">
      <c r="A191" s="29"/>
      <c r="B191" s="57"/>
      <c r="C191" s="14"/>
      <c r="D191" s="17"/>
      <c r="E191" s="17"/>
      <c r="F191" s="17"/>
      <c r="G191" s="59"/>
      <c r="H191" s="17"/>
      <c r="I191" s="15"/>
      <c r="J191" s="17"/>
      <c r="K191" s="15"/>
      <c r="L191" s="17"/>
      <c r="M191" s="15"/>
      <c r="N191" s="17"/>
      <c r="O191" s="15"/>
      <c r="P191" s="17"/>
      <c r="Q191" s="15"/>
      <c r="R191" s="17"/>
      <c r="S191" s="15"/>
      <c r="T191" s="17"/>
      <c r="U191" s="15"/>
      <c r="V191" s="17"/>
      <c r="W191" s="15"/>
      <c r="X191" s="17"/>
      <c r="Y191" s="15"/>
      <c r="Z191" s="17"/>
      <c r="AA191" s="15"/>
      <c r="AB191" s="17"/>
      <c r="AC191" s="15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</row>
    <row r="192" spans="1:51" ht="15.75">
      <c r="A192" s="29"/>
      <c r="B192" s="57"/>
      <c r="C192" s="77" t="s">
        <v>172</v>
      </c>
      <c r="D192" s="70">
        <f>SUM(D193:D198)</f>
        <v>1493981.16</v>
      </c>
      <c r="E192" s="70">
        <f>SUM(E193:E198)</f>
        <v>1493981.16</v>
      </c>
      <c r="F192" s="70">
        <f>SUM(F193:F198)</f>
        <v>0</v>
      </c>
      <c r="G192" s="70">
        <f aca="true" t="shared" si="149" ref="G192:AC192">SUM(G193:G198)</f>
        <v>0</v>
      </c>
      <c r="H192" s="70">
        <f>SUM(H193:H198)</f>
        <v>0</v>
      </c>
      <c r="I192" s="70">
        <f t="shared" si="149"/>
        <v>0</v>
      </c>
      <c r="J192" s="70">
        <f>SUM(J193:J198)</f>
        <v>0</v>
      </c>
      <c r="K192" s="70">
        <f t="shared" si="149"/>
        <v>0</v>
      </c>
      <c r="L192" s="70">
        <f>SUM(L193:L198)</f>
        <v>0</v>
      </c>
      <c r="M192" s="70">
        <f t="shared" si="149"/>
        <v>0</v>
      </c>
      <c r="N192" s="70">
        <f>SUM(N193:N198)</f>
        <v>1493981.16</v>
      </c>
      <c r="O192" s="70">
        <f t="shared" si="149"/>
        <v>1493981.16</v>
      </c>
      <c r="P192" s="70">
        <f>SUM(P193:P198)</f>
        <v>0</v>
      </c>
      <c r="Q192" s="70">
        <f t="shared" si="149"/>
        <v>1493981.16</v>
      </c>
      <c r="R192" s="70">
        <f>SUM(R193:R198)</f>
        <v>0</v>
      </c>
      <c r="S192" s="70">
        <f t="shared" si="149"/>
        <v>1493981.16</v>
      </c>
      <c r="T192" s="70">
        <f>SUM(T193:T198)</f>
        <v>0</v>
      </c>
      <c r="U192" s="70">
        <f t="shared" si="149"/>
        <v>1493981.16</v>
      </c>
      <c r="V192" s="70">
        <f>SUM(V193:V198)</f>
        <v>0</v>
      </c>
      <c r="W192" s="70">
        <f t="shared" si="149"/>
        <v>1493981.16</v>
      </c>
      <c r="X192" s="70">
        <f>SUM(X193:X198)</f>
        <v>0</v>
      </c>
      <c r="Y192" s="70">
        <f t="shared" si="149"/>
        <v>1493981.16</v>
      </c>
      <c r="Z192" s="70">
        <f>SUM(Z193:Z198)</f>
        <v>0</v>
      </c>
      <c r="AA192" s="70">
        <f t="shared" si="149"/>
        <v>1493981.16</v>
      </c>
      <c r="AB192" s="70">
        <f>SUM(AB193:AB198)</f>
        <v>0</v>
      </c>
      <c r="AC192" s="70">
        <f t="shared" si="149"/>
        <v>1493981.16</v>
      </c>
      <c r="AD192" s="70">
        <f>SUM(AD193:AD198)</f>
        <v>0</v>
      </c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</row>
    <row r="193" spans="1:51" ht="15">
      <c r="A193" s="29"/>
      <c r="B193" s="8">
        <v>5911</v>
      </c>
      <c r="C193" s="8" t="s">
        <v>173</v>
      </c>
      <c r="D193" s="18">
        <v>0</v>
      </c>
      <c r="E193" s="18">
        <v>0</v>
      </c>
      <c r="F193" s="18">
        <v>0</v>
      </c>
      <c r="G193" s="58">
        <f aca="true" t="shared" si="150" ref="G193:G198">+F193</f>
        <v>0</v>
      </c>
      <c r="H193" s="18">
        <v>0</v>
      </c>
      <c r="I193" s="58">
        <f aca="true" t="shared" si="151" ref="I193:I198">+G193+H193</f>
        <v>0</v>
      </c>
      <c r="J193" s="18">
        <v>0</v>
      </c>
      <c r="K193" s="58">
        <f aca="true" t="shared" si="152" ref="K193:K198">+I193+J193</f>
        <v>0</v>
      </c>
      <c r="L193" s="18">
        <v>0</v>
      </c>
      <c r="M193" s="58">
        <f aca="true" t="shared" si="153" ref="M193:M198">+K193+L193</f>
        <v>0</v>
      </c>
      <c r="N193" s="18">
        <v>0</v>
      </c>
      <c r="O193" s="58">
        <f aca="true" t="shared" si="154" ref="O193:O198">+M193+N193</f>
        <v>0</v>
      </c>
      <c r="P193" s="18">
        <v>0</v>
      </c>
      <c r="Q193" s="58">
        <f aca="true" t="shared" si="155" ref="Q193:Q198">+O193+P193</f>
        <v>0</v>
      </c>
      <c r="R193" s="18">
        <v>0</v>
      </c>
      <c r="S193" s="58">
        <f aca="true" t="shared" si="156" ref="S193:S198">+Q193+R193</f>
        <v>0</v>
      </c>
      <c r="T193" s="18">
        <v>0</v>
      </c>
      <c r="U193" s="58">
        <f aca="true" t="shared" si="157" ref="U193:U198">+S193+T193</f>
        <v>0</v>
      </c>
      <c r="V193" s="18">
        <v>0</v>
      </c>
      <c r="W193" s="58">
        <f aca="true" t="shared" si="158" ref="W193:W198">+U193+V193</f>
        <v>0</v>
      </c>
      <c r="X193" s="18">
        <v>0</v>
      </c>
      <c r="Y193" s="58">
        <f aca="true" t="shared" si="159" ref="Y193:Y198">+W193+X193</f>
        <v>0</v>
      </c>
      <c r="Z193" s="18">
        <v>0</v>
      </c>
      <c r="AA193" s="58">
        <f aca="true" t="shared" si="160" ref="AA193:AA198">+Y193+Z193</f>
        <v>0</v>
      </c>
      <c r="AB193" s="18">
        <v>0</v>
      </c>
      <c r="AC193" s="15">
        <f aca="true" t="shared" si="161" ref="AC193:AC198">+AA193+AB193</f>
        <v>0</v>
      </c>
      <c r="AD193" s="15">
        <f aca="true" t="shared" si="162" ref="AD193:AD198">+E193-AC193</f>
        <v>0</v>
      </c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</row>
    <row r="194" spans="1:51" ht="15">
      <c r="A194" s="29"/>
      <c r="B194" s="8">
        <v>5921</v>
      </c>
      <c r="C194" s="8" t="s">
        <v>174</v>
      </c>
      <c r="D194" s="18">
        <v>0</v>
      </c>
      <c r="E194" s="18">
        <v>0</v>
      </c>
      <c r="F194" s="18">
        <v>0</v>
      </c>
      <c r="G194" s="58">
        <f t="shared" si="150"/>
        <v>0</v>
      </c>
      <c r="H194" s="18">
        <v>0</v>
      </c>
      <c r="I194" s="58">
        <f t="shared" si="151"/>
        <v>0</v>
      </c>
      <c r="J194" s="18">
        <v>0</v>
      </c>
      <c r="K194" s="58">
        <f t="shared" si="152"/>
        <v>0</v>
      </c>
      <c r="L194" s="18">
        <v>0</v>
      </c>
      <c r="M194" s="58">
        <f t="shared" si="153"/>
        <v>0</v>
      </c>
      <c r="N194" s="18">
        <v>0</v>
      </c>
      <c r="O194" s="58">
        <f t="shared" si="154"/>
        <v>0</v>
      </c>
      <c r="P194" s="18">
        <v>0</v>
      </c>
      <c r="Q194" s="58">
        <f t="shared" si="155"/>
        <v>0</v>
      </c>
      <c r="R194" s="18">
        <v>0</v>
      </c>
      <c r="S194" s="58">
        <f t="shared" si="156"/>
        <v>0</v>
      </c>
      <c r="T194" s="18">
        <v>0</v>
      </c>
      <c r="U194" s="58">
        <f t="shared" si="157"/>
        <v>0</v>
      </c>
      <c r="V194" s="18">
        <v>0</v>
      </c>
      <c r="W194" s="58">
        <f t="shared" si="158"/>
        <v>0</v>
      </c>
      <c r="X194" s="18">
        <v>0</v>
      </c>
      <c r="Y194" s="58">
        <f t="shared" si="159"/>
        <v>0</v>
      </c>
      <c r="Z194" s="18">
        <v>0</v>
      </c>
      <c r="AA194" s="58">
        <f t="shared" si="160"/>
        <v>0</v>
      </c>
      <c r="AB194" s="18">
        <v>0</v>
      </c>
      <c r="AC194" s="15">
        <f t="shared" si="161"/>
        <v>0</v>
      </c>
      <c r="AD194" s="15">
        <f t="shared" si="162"/>
        <v>0</v>
      </c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</row>
    <row r="195" spans="1:51" ht="15">
      <c r="A195" s="29"/>
      <c r="B195" s="8">
        <v>5931</v>
      </c>
      <c r="C195" s="8" t="s">
        <v>175</v>
      </c>
      <c r="D195" s="18">
        <v>0</v>
      </c>
      <c r="E195" s="18">
        <v>0</v>
      </c>
      <c r="F195" s="18">
        <v>0</v>
      </c>
      <c r="G195" s="58">
        <f t="shared" si="150"/>
        <v>0</v>
      </c>
      <c r="H195" s="18">
        <v>0</v>
      </c>
      <c r="I195" s="58">
        <f t="shared" si="151"/>
        <v>0</v>
      </c>
      <c r="J195" s="18">
        <v>0</v>
      </c>
      <c r="K195" s="58">
        <f t="shared" si="152"/>
        <v>0</v>
      </c>
      <c r="L195" s="18">
        <v>0</v>
      </c>
      <c r="M195" s="58">
        <f t="shared" si="153"/>
        <v>0</v>
      </c>
      <c r="N195" s="18">
        <v>0</v>
      </c>
      <c r="O195" s="58">
        <f t="shared" si="154"/>
        <v>0</v>
      </c>
      <c r="P195" s="18">
        <v>0</v>
      </c>
      <c r="Q195" s="58">
        <f t="shared" si="155"/>
        <v>0</v>
      </c>
      <c r="R195" s="18">
        <v>0</v>
      </c>
      <c r="S195" s="58">
        <f t="shared" si="156"/>
        <v>0</v>
      </c>
      <c r="T195" s="18">
        <v>0</v>
      </c>
      <c r="U195" s="58">
        <f t="shared" si="157"/>
        <v>0</v>
      </c>
      <c r="V195" s="18">
        <v>0</v>
      </c>
      <c r="W195" s="58">
        <f t="shared" si="158"/>
        <v>0</v>
      </c>
      <c r="X195" s="18">
        <v>0</v>
      </c>
      <c r="Y195" s="58">
        <f t="shared" si="159"/>
        <v>0</v>
      </c>
      <c r="Z195" s="18">
        <v>0</v>
      </c>
      <c r="AA195" s="58">
        <f t="shared" si="160"/>
        <v>0</v>
      </c>
      <c r="AB195" s="18">
        <v>0</v>
      </c>
      <c r="AC195" s="15">
        <f t="shared" si="161"/>
        <v>0</v>
      </c>
      <c r="AD195" s="15">
        <f t="shared" si="162"/>
        <v>0</v>
      </c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</row>
    <row r="196" spans="2:30" ht="15">
      <c r="B196" s="8">
        <v>5941</v>
      </c>
      <c r="C196" s="8" t="s">
        <v>176</v>
      </c>
      <c r="D196" s="18">
        <v>0</v>
      </c>
      <c r="E196" s="18">
        <v>0</v>
      </c>
      <c r="F196" s="18">
        <v>0</v>
      </c>
      <c r="G196" s="58">
        <f t="shared" si="150"/>
        <v>0</v>
      </c>
      <c r="H196" s="18">
        <v>0</v>
      </c>
      <c r="I196" s="58">
        <f t="shared" si="151"/>
        <v>0</v>
      </c>
      <c r="J196" s="18">
        <v>0</v>
      </c>
      <c r="K196" s="58">
        <f t="shared" si="152"/>
        <v>0</v>
      </c>
      <c r="L196" s="18">
        <v>0</v>
      </c>
      <c r="M196" s="58">
        <f t="shared" si="153"/>
        <v>0</v>
      </c>
      <c r="N196" s="18">
        <v>0</v>
      </c>
      <c r="O196" s="58">
        <f t="shared" si="154"/>
        <v>0</v>
      </c>
      <c r="P196" s="18">
        <v>0</v>
      </c>
      <c r="Q196" s="58">
        <f t="shared" si="155"/>
        <v>0</v>
      </c>
      <c r="R196" s="18">
        <v>0</v>
      </c>
      <c r="S196" s="58">
        <f t="shared" si="156"/>
        <v>0</v>
      </c>
      <c r="T196" s="18">
        <v>0</v>
      </c>
      <c r="U196" s="58">
        <f t="shared" si="157"/>
        <v>0</v>
      </c>
      <c r="V196" s="18">
        <v>0</v>
      </c>
      <c r="W196" s="58">
        <f t="shared" si="158"/>
        <v>0</v>
      </c>
      <c r="X196" s="18">
        <v>0</v>
      </c>
      <c r="Y196" s="58">
        <f t="shared" si="159"/>
        <v>0</v>
      </c>
      <c r="Z196" s="18">
        <v>0</v>
      </c>
      <c r="AA196" s="58">
        <f t="shared" si="160"/>
        <v>0</v>
      </c>
      <c r="AB196" s="18">
        <v>0</v>
      </c>
      <c r="AC196" s="15">
        <f t="shared" si="161"/>
        <v>0</v>
      </c>
      <c r="AD196" s="15">
        <f t="shared" si="162"/>
        <v>0</v>
      </c>
    </row>
    <row r="197" spans="2:58" ht="15.75">
      <c r="B197" s="8">
        <v>5971</v>
      </c>
      <c r="C197" s="8" t="s">
        <v>198</v>
      </c>
      <c r="D197" s="18">
        <v>1493981.16</v>
      </c>
      <c r="E197" s="18">
        <v>1493981.16</v>
      </c>
      <c r="F197" s="18">
        <v>0</v>
      </c>
      <c r="G197" s="58">
        <f>+F197</f>
        <v>0</v>
      </c>
      <c r="H197" s="18">
        <v>0</v>
      </c>
      <c r="I197" s="58">
        <f>+G197+H197</f>
        <v>0</v>
      </c>
      <c r="J197" s="18">
        <v>0</v>
      </c>
      <c r="K197" s="58">
        <f>+I197+J197</f>
        <v>0</v>
      </c>
      <c r="L197" s="18">
        <v>0</v>
      </c>
      <c r="M197" s="58">
        <f>+K197+L197</f>
        <v>0</v>
      </c>
      <c r="N197" s="18">
        <v>1493981.16</v>
      </c>
      <c r="O197" s="58">
        <f>+M197+N197</f>
        <v>1493981.16</v>
      </c>
      <c r="P197" s="18">
        <v>0</v>
      </c>
      <c r="Q197" s="58">
        <f>+O197+P197</f>
        <v>1493981.16</v>
      </c>
      <c r="R197" s="18">
        <v>0</v>
      </c>
      <c r="S197" s="58">
        <f>+Q197+R197</f>
        <v>1493981.16</v>
      </c>
      <c r="T197" s="18">
        <v>0</v>
      </c>
      <c r="U197" s="58">
        <f>+S197+T197</f>
        <v>1493981.16</v>
      </c>
      <c r="V197" s="18">
        <v>0</v>
      </c>
      <c r="W197" s="58">
        <f>+U197+V197</f>
        <v>1493981.16</v>
      </c>
      <c r="X197" s="18">
        <v>0</v>
      </c>
      <c r="Y197" s="58">
        <f>+W197+X197</f>
        <v>1493981.16</v>
      </c>
      <c r="Z197" s="18">
        <v>0</v>
      </c>
      <c r="AA197" s="58">
        <f>+Y197+Z197</f>
        <v>1493981.16</v>
      </c>
      <c r="AB197" s="18">
        <v>0</v>
      </c>
      <c r="AC197" s="15">
        <f>+AA197+AB197</f>
        <v>1493981.16</v>
      </c>
      <c r="AD197" s="15">
        <f t="shared" si="162"/>
        <v>0</v>
      </c>
      <c r="BF197" s="16"/>
    </row>
    <row r="198" spans="2:30" ht="15">
      <c r="B198" s="8">
        <v>5991</v>
      </c>
      <c r="C198" s="8" t="s">
        <v>177</v>
      </c>
      <c r="D198" s="18">
        <v>0</v>
      </c>
      <c r="E198" s="18">
        <v>0</v>
      </c>
      <c r="F198" s="18">
        <v>0</v>
      </c>
      <c r="G198" s="58">
        <f t="shared" si="150"/>
        <v>0</v>
      </c>
      <c r="H198" s="18">
        <v>0</v>
      </c>
      <c r="I198" s="58">
        <f t="shared" si="151"/>
        <v>0</v>
      </c>
      <c r="J198" s="18">
        <v>0</v>
      </c>
      <c r="K198" s="58">
        <f t="shared" si="152"/>
        <v>0</v>
      </c>
      <c r="L198" s="18">
        <v>0</v>
      </c>
      <c r="M198" s="58">
        <f t="shared" si="153"/>
        <v>0</v>
      </c>
      <c r="N198" s="18">
        <v>0</v>
      </c>
      <c r="O198" s="58">
        <f t="shared" si="154"/>
        <v>0</v>
      </c>
      <c r="P198" s="18">
        <v>0</v>
      </c>
      <c r="Q198" s="58">
        <f t="shared" si="155"/>
        <v>0</v>
      </c>
      <c r="R198" s="18">
        <v>0</v>
      </c>
      <c r="S198" s="58">
        <f t="shared" si="156"/>
        <v>0</v>
      </c>
      <c r="T198" s="18">
        <v>0</v>
      </c>
      <c r="U198" s="58">
        <f t="shared" si="157"/>
        <v>0</v>
      </c>
      <c r="V198" s="18">
        <v>0</v>
      </c>
      <c r="W198" s="58">
        <f t="shared" si="158"/>
        <v>0</v>
      </c>
      <c r="X198" s="18">
        <v>0</v>
      </c>
      <c r="Y198" s="58">
        <f t="shared" si="159"/>
        <v>0</v>
      </c>
      <c r="Z198" s="18">
        <v>0</v>
      </c>
      <c r="AA198" s="58">
        <f t="shared" si="160"/>
        <v>0</v>
      </c>
      <c r="AB198" s="18">
        <v>0</v>
      </c>
      <c r="AC198" s="15">
        <f t="shared" si="161"/>
        <v>0</v>
      </c>
      <c r="AD198" s="15">
        <f t="shared" si="162"/>
        <v>0</v>
      </c>
    </row>
  </sheetData>
  <sheetProtection/>
  <mergeCells count="3">
    <mergeCell ref="B3:AD3"/>
    <mergeCell ref="B5:AD5"/>
    <mergeCell ref="B1:AD1"/>
  </mergeCells>
  <printOptions/>
  <pageMargins left="0.5118110236220472" right="0" top="0" bottom="0" header="0" footer="0"/>
  <pageSetup horizontalDpi="600" verticalDpi="600" orientation="landscape" paperSize="5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98"/>
  <sheetViews>
    <sheetView showGridLines="0" zoomScale="70" zoomScaleNormal="70" zoomScalePageLayoutView="0" workbookViewId="0" topLeftCell="A1">
      <selection activeCell="B5" sqref="B5:AC5"/>
    </sheetView>
  </sheetViews>
  <sheetFormatPr defaultColWidth="11.421875" defaultRowHeight="12.75"/>
  <cols>
    <col min="1" max="1" width="1.8515625" style="8" bestFit="1" customWidth="1"/>
    <col min="2" max="2" width="6.57421875" style="8" bestFit="1" customWidth="1"/>
    <col min="3" max="3" width="67.00390625" style="8" bestFit="1" customWidth="1"/>
    <col min="4" max="4" width="17.8515625" style="8" bestFit="1" customWidth="1"/>
    <col min="5" max="5" width="18.00390625" style="8" customWidth="1"/>
    <col min="6" max="9" width="19.28125" style="8" hidden="1" customWidth="1"/>
    <col min="10" max="11" width="19.28125" style="8" customWidth="1"/>
    <col min="12" max="28" width="19.28125" style="8" hidden="1" customWidth="1"/>
    <col min="29" max="29" width="17.8515625" style="8" customWidth="1"/>
    <col min="30" max="30" width="15.00390625" style="8" bestFit="1" customWidth="1"/>
    <col min="31" max="31" width="13.8515625" style="8" bestFit="1" customWidth="1"/>
    <col min="32" max="16384" width="11.421875" style="8" customWidth="1"/>
  </cols>
  <sheetData>
    <row r="1" spans="1:29" ht="15.75">
      <c r="A1" s="29"/>
      <c r="B1" s="318" t="s">
        <v>71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20"/>
    </row>
    <row r="2" spans="1:29" ht="13.5" customHeight="1">
      <c r="A2" s="29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29"/>
      <c r="U2" s="29"/>
      <c r="V2" s="29"/>
      <c r="W2" s="29"/>
      <c r="X2" s="29"/>
      <c r="Y2" s="29"/>
      <c r="Z2" s="29"/>
      <c r="AA2" s="29"/>
      <c r="AB2" s="29"/>
      <c r="AC2" s="29"/>
    </row>
    <row r="3" spans="1:29" ht="17.25" customHeight="1">
      <c r="A3" s="31"/>
      <c r="B3" s="315" t="s">
        <v>72</v>
      </c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7"/>
    </row>
    <row r="4" spans="1:29" ht="13.5" customHeight="1">
      <c r="A4" s="31" t="s">
        <v>31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</row>
    <row r="5" spans="1:29" ht="16.5" customHeight="1">
      <c r="A5" s="31"/>
      <c r="B5" s="315" t="s">
        <v>280</v>
      </c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7"/>
    </row>
    <row r="6" spans="1:29" ht="13.5" customHeight="1">
      <c r="A6" s="3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8" ht="15.75">
      <c r="A7" s="31"/>
      <c r="B7" s="89"/>
      <c r="C7" s="90"/>
      <c r="E7" s="24"/>
      <c r="F7" s="16"/>
      <c r="G7" s="12" t="s">
        <v>53</v>
      </c>
      <c r="H7" s="16"/>
      <c r="I7" s="12" t="s">
        <v>53</v>
      </c>
      <c r="J7" s="16"/>
      <c r="K7" s="12" t="s">
        <v>53</v>
      </c>
      <c r="L7" s="16"/>
      <c r="M7" s="12" t="s">
        <v>53</v>
      </c>
      <c r="N7" s="16"/>
      <c r="O7" s="12" t="s">
        <v>53</v>
      </c>
      <c r="P7" s="16"/>
      <c r="Q7" s="12" t="s">
        <v>53</v>
      </c>
      <c r="R7" s="16"/>
      <c r="S7" s="12" t="s">
        <v>53</v>
      </c>
      <c r="T7" s="16"/>
      <c r="U7" s="12" t="s">
        <v>53</v>
      </c>
      <c r="V7" s="16"/>
      <c r="W7" s="12" t="s">
        <v>53</v>
      </c>
      <c r="X7" s="16"/>
      <c r="Y7" s="12" t="s">
        <v>53</v>
      </c>
      <c r="Z7" s="16"/>
      <c r="AA7" s="12" t="s">
        <v>53</v>
      </c>
      <c r="AB7" s="16"/>
    </row>
    <row r="8" spans="1:29" ht="15.75">
      <c r="A8" s="31"/>
      <c r="B8" s="36"/>
      <c r="C8" s="27"/>
      <c r="D8" s="28"/>
      <c r="E8" s="34" t="s">
        <v>52</v>
      </c>
      <c r="F8" s="34" t="s">
        <v>53</v>
      </c>
      <c r="G8" s="12" t="s">
        <v>86</v>
      </c>
      <c r="H8" s="34" t="s">
        <v>53</v>
      </c>
      <c r="I8" s="12" t="s">
        <v>86</v>
      </c>
      <c r="J8" s="34" t="s">
        <v>53</v>
      </c>
      <c r="K8" s="12" t="s">
        <v>86</v>
      </c>
      <c r="L8" s="34" t="s">
        <v>53</v>
      </c>
      <c r="M8" s="12" t="s">
        <v>86</v>
      </c>
      <c r="N8" s="34" t="s">
        <v>53</v>
      </c>
      <c r="O8" s="12" t="s">
        <v>86</v>
      </c>
      <c r="P8" s="34" t="s">
        <v>53</v>
      </c>
      <c r="Q8" s="12" t="s">
        <v>86</v>
      </c>
      <c r="R8" s="34" t="s">
        <v>53</v>
      </c>
      <c r="S8" s="12" t="s">
        <v>86</v>
      </c>
      <c r="T8" s="34" t="s">
        <v>53</v>
      </c>
      <c r="U8" s="12" t="s">
        <v>86</v>
      </c>
      <c r="V8" s="34" t="s">
        <v>53</v>
      </c>
      <c r="W8" s="12" t="s">
        <v>86</v>
      </c>
      <c r="X8" s="34" t="s">
        <v>53</v>
      </c>
      <c r="Y8" s="12" t="s">
        <v>86</v>
      </c>
      <c r="Z8" s="34" t="s">
        <v>53</v>
      </c>
      <c r="AA8" s="12" t="s">
        <v>86</v>
      </c>
      <c r="AB8" s="34" t="s">
        <v>53</v>
      </c>
      <c r="AC8" s="12" t="s">
        <v>86</v>
      </c>
    </row>
    <row r="9" spans="1:29" ht="14.25" customHeight="1">
      <c r="A9" s="29"/>
      <c r="B9" s="34" t="s">
        <v>54</v>
      </c>
      <c r="C9" s="12" t="s">
        <v>82</v>
      </c>
      <c r="D9" s="34" t="s">
        <v>6</v>
      </c>
      <c r="E9" s="34" t="s">
        <v>90</v>
      </c>
      <c r="F9" s="12" t="s">
        <v>86</v>
      </c>
      <c r="G9" s="38" t="s">
        <v>33</v>
      </c>
      <c r="H9" s="12" t="s">
        <v>86</v>
      </c>
      <c r="I9" s="38" t="s">
        <v>33</v>
      </c>
      <c r="J9" s="12" t="s">
        <v>86</v>
      </c>
      <c r="K9" s="38" t="s">
        <v>33</v>
      </c>
      <c r="L9" s="12" t="s">
        <v>86</v>
      </c>
      <c r="M9" s="38" t="s">
        <v>33</v>
      </c>
      <c r="N9" s="12" t="s">
        <v>86</v>
      </c>
      <c r="O9" s="38" t="s">
        <v>33</v>
      </c>
      <c r="P9" s="12" t="s">
        <v>86</v>
      </c>
      <c r="Q9" s="38" t="s">
        <v>33</v>
      </c>
      <c r="R9" s="12" t="s">
        <v>86</v>
      </c>
      <c r="S9" s="38" t="s">
        <v>33</v>
      </c>
      <c r="T9" s="12" t="s">
        <v>86</v>
      </c>
      <c r="U9" s="38" t="s">
        <v>33</v>
      </c>
      <c r="V9" s="12" t="s">
        <v>86</v>
      </c>
      <c r="W9" s="38" t="s">
        <v>33</v>
      </c>
      <c r="X9" s="12" t="s">
        <v>86</v>
      </c>
      <c r="Y9" s="38" t="s">
        <v>33</v>
      </c>
      <c r="Z9" s="12" t="s">
        <v>86</v>
      </c>
      <c r="AA9" s="38" t="s">
        <v>33</v>
      </c>
      <c r="AB9" s="12" t="s">
        <v>86</v>
      </c>
      <c r="AC9" s="38" t="s">
        <v>33</v>
      </c>
    </row>
    <row r="10" spans="1:29" ht="15.75">
      <c r="A10" s="44"/>
      <c r="B10" s="45"/>
      <c r="C10" s="45"/>
      <c r="D10" s="46" t="s">
        <v>77</v>
      </c>
      <c r="E10" s="46" t="s">
        <v>58</v>
      </c>
      <c r="F10" s="46" t="s">
        <v>83</v>
      </c>
      <c r="G10" s="46" t="s">
        <v>59</v>
      </c>
      <c r="H10" s="46" t="s">
        <v>60</v>
      </c>
      <c r="I10" s="46" t="s">
        <v>60</v>
      </c>
      <c r="J10" s="46" t="s">
        <v>58</v>
      </c>
      <c r="K10" s="46" t="s">
        <v>58</v>
      </c>
      <c r="L10" s="46" t="s">
        <v>61</v>
      </c>
      <c r="M10" s="46" t="s">
        <v>61</v>
      </c>
      <c r="N10" s="46" t="s">
        <v>62</v>
      </c>
      <c r="O10" s="46" t="s">
        <v>62</v>
      </c>
      <c r="P10" s="46" t="s">
        <v>63</v>
      </c>
      <c r="Q10" s="46" t="s">
        <v>63</v>
      </c>
      <c r="R10" s="46" t="s">
        <v>64</v>
      </c>
      <c r="S10" s="46" t="s">
        <v>64</v>
      </c>
      <c r="T10" s="46" t="s">
        <v>65</v>
      </c>
      <c r="U10" s="46" t="s">
        <v>65</v>
      </c>
      <c r="V10" s="46" t="s">
        <v>66</v>
      </c>
      <c r="W10" s="46" t="s">
        <v>66</v>
      </c>
      <c r="X10" s="46" t="s">
        <v>67</v>
      </c>
      <c r="Y10" s="46" t="s">
        <v>67</v>
      </c>
      <c r="Z10" s="46" t="s">
        <v>68</v>
      </c>
      <c r="AA10" s="46" t="s">
        <v>68</v>
      </c>
      <c r="AB10" s="46" t="s">
        <v>69</v>
      </c>
      <c r="AC10" s="46" t="s">
        <v>69</v>
      </c>
    </row>
    <row r="11" spans="1:30" ht="15.75">
      <c r="A11" s="29"/>
      <c r="B11" s="48"/>
      <c r="C11" s="49" t="s">
        <v>24</v>
      </c>
      <c r="D11" s="50">
        <f aca="true" t="shared" si="0" ref="D11:AC11">+D23+D53+D101+D169</f>
        <v>231095501.48000002</v>
      </c>
      <c r="E11" s="50">
        <f t="shared" si="0"/>
        <v>231095501.48000002</v>
      </c>
      <c r="F11" s="50">
        <f t="shared" si="0"/>
        <v>14430733.84</v>
      </c>
      <c r="G11" s="50">
        <f t="shared" si="0"/>
        <v>14430733.84</v>
      </c>
      <c r="H11" s="50">
        <f t="shared" si="0"/>
        <v>14575343.600000001</v>
      </c>
      <c r="I11" s="50">
        <f t="shared" si="0"/>
        <v>29006077.439999998</v>
      </c>
      <c r="J11" s="50">
        <f t="shared" si="0"/>
        <v>14287779.579999998</v>
      </c>
      <c r="K11" s="50">
        <f t="shared" si="0"/>
        <v>43293857.019999996</v>
      </c>
      <c r="L11" s="50">
        <f t="shared" si="0"/>
        <v>0</v>
      </c>
      <c r="M11" s="50">
        <f t="shared" si="0"/>
        <v>43293857.019999996</v>
      </c>
      <c r="N11" s="50">
        <f t="shared" si="0"/>
        <v>0</v>
      </c>
      <c r="O11" s="50">
        <f t="shared" si="0"/>
        <v>43293857.019999996</v>
      </c>
      <c r="P11" s="50">
        <f t="shared" si="0"/>
        <v>0</v>
      </c>
      <c r="Q11" s="50">
        <f t="shared" si="0"/>
        <v>43293857.019999996</v>
      </c>
      <c r="R11" s="50">
        <f t="shared" si="0"/>
        <v>0</v>
      </c>
      <c r="S11" s="50">
        <f t="shared" si="0"/>
        <v>43293857.019999996</v>
      </c>
      <c r="T11" s="50">
        <f t="shared" si="0"/>
        <v>0</v>
      </c>
      <c r="U11" s="50">
        <f t="shared" si="0"/>
        <v>43293857.019999996</v>
      </c>
      <c r="V11" s="50">
        <f t="shared" si="0"/>
        <v>0</v>
      </c>
      <c r="W11" s="50">
        <f t="shared" si="0"/>
        <v>43293857.019999996</v>
      </c>
      <c r="X11" s="50">
        <f t="shared" si="0"/>
        <v>0</v>
      </c>
      <c r="Y11" s="50">
        <f t="shared" si="0"/>
        <v>43293857.019999996</v>
      </c>
      <c r="Z11" s="50">
        <f t="shared" si="0"/>
        <v>0</v>
      </c>
      <c r="AA11" s="50">
        <f t="shared" si="0"/>
        <v>43293857.019999996</v>
      </c>
      <c r="AB11" s="50">
        <f t="shared" si="0"/>
        <v>0</v>
      </c>
      <c r="AC11" s="50">
        <f t="shared" si="0"/>
        <v>43293857.019999996</v>
      </c>
      <c r="AD11" s="15"/>
    </row>
    <row r="12" spans="1:30" ht="15.75">
      <c r="A12" s="29"/>
      <c r="B12" s="14"/>
      <c r="C12" s="14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15"/>
    </row>
    <row r="13" spans="1:31" ht="15.75">
      <c r="A13" s="29"/>
      <c r="B13" s="52"/>
      <c r="C13" s="52" t="s">
        <v>25</v>
      </c>
      <c r="D13" s="53">
        <f aca="true" t="shared" si="1" ref="D13:AC13">+D172</f>
        <v>3436474.5199999996</v>
      </c>
      <c r="E13" s="53">
        <f t="shared" si="1"/>
        <v>3436474.5199999996</v>
      </c>
      <c r="F13" s="53">
        <f t="shared" si="1"/>
        <v>0</v>
      </c>
      <c r="G13" s="53">
        <f t="shared" si="1"/>
        <v>0</v>
      </c>
      <c r="H13" s="53">
        <f t="shared" si="1"/>
        <v>0</v>
      </c>
      <c r="I13" s="53">
        <f t="shared" si="1"/>
        <v>0</v>
      </c>
      <c r="J13" s="53">
        <f t="shared" si="1"/>
        <v>0</v>
      </c>
      <c r="K13" s="53">
        <f t="shared" si="1"/>
        <v>0</v>
      </c>
      <c r="L13" s="53">
        <f t="shared" si="1"/>
        <v>0</v>
      </c>
      <c r="M13" s="53">
        <f t="shared" si="1"/>
        <v>0</v>
      </c>
      <c r="N13" s="53">
        <f t="shared" si="1"/>
        <v>0</v>
      </c>
      <c r="O13" s="53">
        <f t="shared" si="1"/>
        <v>0</v>
      </c>
      <c r="P13" s="53">
        <f t="shared" si="1"/>
        <v>0</v>
      </c>
      <c r="Q13" s="53">
        <f t="shared" si="1"/>
        <v>0</v>
      </c>
      <c r="R13" s="53">
        <f>+R172</f>
        <v>0</v>
      </c>
      <c r="S13" s="53">
        <f t="shared" si="1"/>
        <v>0</v>
      </c>
      <c r="T13" s="53">
        <f>+T172</f>
        <v>0</v>
      </c>
      <c r="U13" s="53">
        <f t="shared" si="1"/>
        <v>0</v>
      </c>
      <c r="V13" s="53">
        <f t="shared" si="1"/>
        <v>0</v>
      </c>
      <c r="W13" s="53">
        <f t="shared" si="1"/>
        <v>0</v>
      </c>
      <c r="X13" s="53">
        <f t="shared" si="1"/>
        <v>0</v>
      </c>
      <c r="Y13" s="53">
        <f t="shared" si="1"/>
        <v>0</v>
      </c>
      <c r="Z13" s="53">
        <f t="shared" si="1"/>
        <v>0</v>
      </c>
      <c r="AA13" s="53">
        <f t="shared" si="1"/>
        <v>0</v>
      </c>
      <c r="AB13" s="53">
        <f t="shared" si="1"/>
        <v>0</v>
      </c>
      <c r="AC13" s="53">
        <f t="shared" si="1"/>
        <v>0</v>
      </c>
      <c r="AD13" s="15"/>
      <c r="AE13" s="15"/>
    </row>
    <row r="14" spans="1:30" ht="15.75">
      <c r="A14" s="29"/>
      <c r="B14" s="14"/>
      <c r="C14" s="5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 t="s">
        <v>274</v>
      </c>
      <c r="W14" s="15"/>
      <c r="X14" s="15"/>
      <c r="Y14" s="15"/>
      <c r="Z14" s="15"/>
      <c r="AA14" s="15"/>
      <c r="AB14" s="15"/>
      <c r="AC14" s="15"/>
      <c r="AD14" s="15"/>
    </row>
    <row r="15" spans="1:31" ht="16.5" thickBot="1">
      <c r="A15" s="29"/>
      <c r="B15" s="54"/>
      <c r="C15" s="55" t="s">
        <v>81</v>
      </c>
      <c r="D15" s="56">
        <f aca="true" t="shared" si="2" ref="D15:AC15">SUM(D11:D14)</f>
        <v>234531976.00000003</v>
      </c>
      <c r="E15" s="56">
        <f t="shared" si="2"/>
        <v>234531976.00000003</v>
      </c>
      <c r="F15" s="56">
        <f t="shared" si="2"/>
        <v>14430733.84</v>
      </c>
      <c r="G15" s="56">
        <f t="shared" si="2"/>
        <v>14430733.84</v>
      </c>
      <c r="H15" s="56">
        <f t="shared" si="2"/>
        <v>14575343.600000001</v>
      </c>
      <c r="I15" s="56">
        <f t="shared" si="2"/>
        <v>29006077.439999998</v>
      </c>
      <c r="J15" s="56">
        <f t="shared" si="2"/>
        <v>14287779.579999998</v>
      </c>
      <c r="K15" s="56">
        <f t="shared" si="2"/>
        <v>43293857.019999996</v>
      </c>
      <c r="L15" s="56">
        <f t="shared" si="2"/>
        <v>0</v>
      </c>
      <c r="M15" s="56">
        <f t="shared" si="2"/>
        <v>43293857.019999996</v>
      </c>
      <c r="N15" s="56">
        <f t="shared" si="2"/>
        <v>0</v>
      </c>
      <c r="O15" s="56">
        <f t="shared" si="2"/>
        <v>43293857.019999996</v>
      </c>
      <c r="P15" s="56">
        <f t="shared" si="2"/>
        <v>0</v>
      </c>
      <c r="Q15" s="56">
        <f t="shared" si="2"/>
        <v>43293857.019999996</v>
      </c>
      <c r="R15" s="56">
        <f t="shared" si="2"/>
        <v>0</v>
      </c>
      <c r="S15" s="56">
        <f t="shared" si="2"/>
        <v>43293857.019999996</v>
      </c>
      <c r="T15" s="56">
        <f t="shared" si="2"/>
        <v>0</v>
      </c>
      <c r="U15" s="56">
        <f t="shared" si="2"/>
        <v>43293857.019999996</v>
      </c>
      <c r="V15" s="56">
        <f t="shared" si="2"/>
        <v>0</v>
      </c>
      <c r="W15" s="56">
        <f t="shared" si="2"/>
        <v>43293857.019999996</v>
      </c>
      <c r="X15" s="56">
        <f t="shared" si="2"/>
        <v>0</v>
      </c>
      <c r="Y15" s="56">
        <f t="shared" si="2"/>
        <v>43293857.019999996</v>
      </c>
      <c r="Z15" s="56">
        <f t="shared" si="2"/>
        <v>0</v>
      </c>
      <c r="AA15" s="56">
        <f t="shared" si="2"/>
        <v>43293857.019999996</v>
      </c>
      <c r="AB15" s="56">
        <f t="shared" si="2"/>
        <v>0</v>
      </c>
      <c r="AC15" s="56">
        <f t="shared" si="2"/>
        <v>43293857.019999996</v>
      </c>
      <c r="AD15" s="15"/>
      <c r="AE15" s="15"/>
    </row>
    <row r="16" spans="1:30" ht="15.75" thickTop="1">
      <c r="A16" s="29"/>
      <c r="B16" s="57">
        <v>4311</v>
      </c>
      <c r="C16" s="8" t="s">
        <v>97</v>
      </c>
      <c r="D16" s="15">
        <f>+PRESUPACUM!D16</f>
        <v>184316.09</v>
      </c>
      <c r="E16" s="15">
        <f>+PRESUPACUM!E16</f>
        <v>184316.09</v>
      </c>
      <c r="F16" s="18">
        <v>0</v>
      </c>
      <c r="G16" s="58">
        <f>+F16</f>
        <v>0</v>
      </c>
      <c r="H16" s="18">
        <v>0</v>
      </c>
      <c r="I16" s="58">
        <f>+G16+H16</f>
        <v>0</v>
      </c>
      <c r="J16" s="18">
        <v>0</v>
      </c>
      <c r="K16" s="58">
        <f>+I16+J16</f>
        <v>0</v>
      </c>
      <c r="L16" s="18">
        <v>0</v>
      </c>
      <c r="M16" s="58">
        <f>+K16+L16</f>
        <v>0</v>
      </c>
      <c r="N16" s="18">
        <v>0</v>
      </c>
      <c r="O16" s="58">
        <f>+M16+N16</f>
        <v>0</v>
      </c>
      <c r="P16" s="18">
        <v>0</v>
      </c>
      <c r="Q16" s="58">
        <f>+O16+P16</f>
        <v>0</v>
      </c>
      <c r="R16" s="18">
        <v>0</v>
      </c>
      <c r="S16" s="58">
        <f>+Q16+R16</f>
        <v>0</v>
      </c>
      <c r="T16" s="18">
        <v>0</v>
      </c>
      <c r="U16" s="58">
        <f>+S16+T16</f>
        <v>0</v>
      </c>
      <c r="V16" s="18">
        <v>0</v>
      </c>
      <c r="W16" s="58">
        <f>+U16+V16</f>
        <v>0</v>
      </c>
      <c r="X16" s="18">
        <v>0</v>
      </c>
      <c r="Y16" s="58">
        <f>+W16+X16</f>
        <v>0</v>
      </c>
      <c r="Z16" s="18">
        <v>0</v>
      </c>
      <c r="AA16" s="58">
        <f>+Y16+Z16</f>
        <v>0</v>
      </c>
      <c r="AB16" s="18">
        <v>0</v>
      </c>
      <c r="AC16" s="58">
        <f>+AA16+AB16</f>
        <v>0</v>
      </c>
      <c r="AD16" s="15"/>
    </row>
    <row r="17" spans="1:31" ht="15">
      <c r="A17" s="29"/>
      <c r="B17" s="57">
        <v>4399</v>
      </c>
      <c r="C17" s="8" t="s">
        <v>100</v>
      </c>
      <c r="D17" s="15">
        <f>+PRESUPACUM!D17</f>
        <v>281774.97000000003</v>
      </c>
      <c r="E17" s="15">
        <f>+PRESUPACUM!E17</f>
        <v>281774.97000000003</v>
      </c>
      <c r="F17" s="18">
        <v>0</v>
      </c>
      <c r="G17" s="58">
        <f>+F17</f>
        <v>0</v>
      </c>
      <c r="H17" s="18">
        <v>0</v>
      </c>
      <c r="I17" s="58">
        <f>+G17+H17</f>
        <v>0</v>
      </c>
      <c r="J17" s="18">
        <v>0</v>
      </c>
      <c r="K17" s="58">
        <f>+I17+J17</f>
        <v>0</v>
      </c>
      <c r="L17" s="18">
        <v>0</v>
      </c>
      <c r="M17" s="58">
        <f>+K17+L17</f>
        <v>0</v>
      </c>
      <c r="N17" s="18">
        <v>0</v>
      </c>
      <c r="O17" s="58">
        <f>+M17+N17</f>
        <v>0</v>
      </c>
      <c r="P17" s="18">
        <v>0</v>
      </c>
      <c r="Q17" s="58">
        <f>+O17+P17</f>
        <v>0</v>
      </c>
      <c r="R17" s="18">
        <v>0</v>
      </c>
      <c r="S17" s="58">
        <f>+Q17+R17</f>
        <v>0</v>
      </c>
      <c r="T17" s="18">
        <v>0</v>
      </c>
      <c r="U17" s="58">
        <f>+S17+T17</f>
        <v>0</v>
      </c>
      <c r="V17" s="18">
        <v>0</v>
      </c>
      <c r="W17" s="58">
        <f>+U17+V17</f>
        <v>0</v>
      </c>
      <c r="X17" s="18">
        <v>0</v>
      </c>
      <c r="Y17" s="58">
        <f>+W17+X17</f>
        <v>0</v>
      </c>
      <c r="Z17" s="18">
        <v>0</v>
      </c>
      <c r="AA17" s="58">
        <f>+Y17+Z17</f>
        <v>0</v>
      </c>
      <c r="AB17" s="18">
        <v>0</v>
      </c>
      <c r="AC17" s="58">
        <f>+AA17+AB17</f>
        <v>0</v>
      </c>
      <c r="AD17" s="15"/>
      <c r="AE17" s="15"/>
    </row>
    <row r="18" spans="1:30" ht="15">
      <c r="A18" s="29"/>
      <c r="B18" s="57">
        <v>4326</v>
      </c>
      <c r="C18" s="14" t="s">
        <v>22</v>
      </c>
      <c r="D18" s="15">
        <f>+PRESUPACUM!D18</f>
        <v>9000</v>
      </c>
      <c r="E18" s="15">
        <f>+PRESUPACUM!E18</f>
        <v>9000</v>
      </c>
      <c r="F18" s="18">
        <v>0</v>
      </c>
      <c r="G18" s="58">
        <f>+F18</f>
        <v>0</v>
      </c>
      <c r="H18" s="18">
        <v>0</v>
      </c>
      <c r="I18" s="58">
        <f>+G18+H18</f>
        <v>0</v>
      </c>
      <c r="J18" s="18">
        <v>0</v>
      </c>
      <c r="K18" s="58">
        <f>+I18+J18</f>
        <v>0</v>
      </c>
      <c r="L18" s="18">
        <v>0</v>
      </c>
      <c r="M18" s="58">
        <f>+K18+L18</f>
        <v>0</v>
      </c>
      <c r="N18" s="18">
        <v>0</v>
      </c>
      <c r="O18" s="58">
        <f>+M18+N18</f>
        <v>0</v>
      </c>
      <c r="P18" s="18">
        <v>0</v>
      </c>
      <c r="Q18" s="58">
        <f>+O18+P18</f>
        <v>0</v>
      </c>
      <c r="R18" s="18">
        <v>0</v>
      </c>
      <c r="S18" s="58">
        <f>+Q18+R18</f>
        <v>0</v>
      </c>
      <c r="T18" s="18">
        <v>0</v>
      </c>
      <c r="U18" s="58">
        <f>+S18+T18</f>
        <v>0</v>
      </c>
      <c r="V18" s="18">
        <v>0</v>
      </c>
      <c r="W18" s="58">
        <f>+U18+V18</f>
        <v>0</v>
      </c>
      <c r="X18" s="18">
        <v>0</v>
      </c>
      <c r="Y18" s="58">
        <f>+W18+X18</f>
        <v>0</v>
      </c>
      <c r="Z18" s="18">
        <v>0</v>
      </c>
      <c r="AA18" s="58">
        <f>+Y18+Z18</f>
        <v>0</v>
      </c>
      <c r="AB18" s="18">
        <v>0</v>
      </c>
      <c r="AC18" s="58">
        <f>+AA18+AB18</f>
        <v>0</v>
      </c>
      <c r="AD18" s="15"/>
    </row>
    <row r="19" spans="1:30" ht="15">
      <c r="A19" s="29"/>
      <c r="B19" s="57">
        <v>4176</v>
      </c>
      <c r="C19" s="14" t="s">
        <v>21</v>
      </c>
      <c r="D19" s="15">
        <f>+PRESUPACUM!D19</f>
        <v>0</v>
      </c>
      <c r="E19" s="15">
        <f>+PRESUPACUM!E19</f>
        <v>0</v>
      </c>
      <c r="F19" s="18">
        <v>0</v>
      </c>
      <c r="G19" s="58">
        <f>+F19</f>
        <v>0</v>
      </c>
      <c r="H19" s="18">
        <v>0</v>
      </c>
      <c r="I19" s="58">
        <f>+G19+H19</f>
        <v>0</v>
      </c>
      <c r="J19" s="18">
        <v>0</v>
      </c>
      <c r="K19" s="58">
        <f>+I19+J19</f>
        <v>0</v>
      </c>
      <c r="L19" s="18">
        <v>0</v>
      </c>
      <c r="M19" s="58">
        <f>+K19+L19</f>
        <v>0</v>
      </c>
      <c r="N19" s="18">
        <v>0</v>
      </c>
      <c r="O19" s="58">
        <f>+M19+N19</f>
        <v>0</v>
      </c>
      <c r="P19" s="18">
        <v>0</v>
      </c>
      <c r="Q19" s="58">
        <f>+O19+P19</f>
        <v>0</v>
      </c>
      <c r="R19" s="18">
        <v>0</v>
      </c>
      <c r="S19" s="58">
        <f>+Q19+R19</f>
        <v>0</v>
      </c>
      <c r="T19" s="18">
        <v>0</v>
      </c>
      <c r="U19" s="58">
        <f>+S19+T19</f>
        <v>0</v>
      </c>
      <c r="V19" s="18">
        <v>0</v>
      </c>
      <c r="W19" s="58">
        <f>+U19+V19</f>
        <v>0</v>
      </c>
      <c r="X19" s="18">
        <v>0</v>
      </c>
      <c r="Y19" s="58">
        <f>+W19+X19</f>
        <v>0</v>
      </c>
      <c r="Z19" s="18">
        <v>0</v>
      </c>
      <c r="AA19" s="58">
        <f>+Y19+Z19</f>
        <v>0</v>
      </c>
      <c r="AB19" s="18">
        <v>0</v>
      </c>
      <c r="AC19" s="58">
        <f>+AA19+AB19</f>
        <v>0</v>
      </c>
      <c r="AD19" s="15"/>
    </row>
    <row r="20" spans="1:30" ht="15">
      <c r="A20" s="29"/>
      <c r="B20" s="14"/>
      <c r="C20" s="14"/>
      <c r="D20" s="15"/>
      <c r="E20" s="15"/>
      <c r="F20" s="18"/>
      <c r="G20" s="58"/>
      <c r="H20" s="18"/>
      <c r="I20" s="58"/>
      <c r="J20" s="18"/>
      <c r="K20" s="58"/>
      <c r="L20" s="18"/>
      <c r="M20" s="58"/>
      <c r="N20" s="18"/>
      <c r="O20" s="58"/>
      <c r="P20" s="18"/>
      <c r="Q20" s="58"/>
      <c r="R20" s="18"/>
      <c r="S20" s="58"/>
      <c r="T20" s="18"/>
      <c r="U20" s="58"/>
      <c r="V20" s="18"/>
      <c r="W20" s="58"/>
      <c r="X20" s="18"/>
      <c r="Y20" s="58"/>
      <c r="Z20" s="18"/>
      <c r="AA20" s="58"/>
      <c r="AB20" s="18"/>
      <c r="AC20" s="58"/>
      <c r="AD20" s="15"/>
    </row>
    <row r="21" spans="1:30" ht="16.5" thickBot="1">
      <c r="A21" s="29"/>
      <c r="B21" s="14"/>
      <c r="C21" s="55" t="s">
        <v>70</v>
      </c>
      <c r="D21" s="60">
        <f aca="true" t="shared" si="3" ref="D21:AC21">SUM(D15:D19)</f>
        <v>235007067.06000003</v>
      </c>
      <c r="E21" s="60">
        <f t="shared" si="3"/>
        <v>235007067.06000003</v>
      </c>
      <c r="F21" s="60">
        <f t="shared" si="3"/>
        <v>14430733.84</v>
      </c>
      <c r="G21" s="60">
        <f t="shared" si="3"/>
        <v>14430733.84</v>
      </c>
      <c r="H21" s="60">
        <f>SUM(H15:H19)</f>
        <v>14575343.600000001</v>
      </c>
      <c r="I21" s="60">
        <f t="shared" si="3"/>
        <v>29006077.439999998</v>
      </c>
      <c r="J21" s="60">
        <f>SUM(J15:J19)</f>
        <v>14287779.579999998</v>
      </c>
      <c r="K21" s="60">
        <f t="shared" si="3"/>
        <v>43293857.019999996</v>
      </c>
      <c r="L21" s="60">
        <f t="shared" si="3"/>
        <v>0</v>
      </c>
      <c r="M21" s="60">
        <f t="shared" si="3"/>
        <v>43293857.019999996</v>
      </c>
      <c r="N21" s="60">
        <f>SUM(N15:N19)</f>
        <v>0</v>
      </c>
      <c r="O21" s="60">
        <f t="shared" si="3"/>
        <v>43293857.019999996</v>
      </c>
      <c r="P21" s="60">
        <f>SUM(P15:P19)</f>
        <v>0</v>
      </c>
      <c r="Q21" s="60">
        <f t="shared" si="3"/>
        <v>43293857.019999996</v>
      </c>
      <c r="R21" s="60">
        <f t="shared" si="3"/>
        <v>0</v>
      </c>
      <c r="S21" s="60">
        <f t="shared" si="3"/>
        <v>43293857.019999996</v>
      </c>
      <c r="T21" s="60">
        <f>SUM(T15:T19)</f>
        <v>0</v>
      </c>
      <c r="U21" s="60">
        <f t="shared" si="3"/>
        <v>43293857.019999996</v>
      </c>
      <c r="V21" s="60">
        <f>SUM(V15:V19)</f>
        <v>0</v>
      </c>
      <c r="W21" s="60">
        <f t="shared" si="3"/>
        <v>43293857.019999996</v>
      </c>
      <c r="X21" s="60">
        <f t="shared" si="3"/>
        <v>0</v>
      </c>
      <c r="Y21" s="60">
        <f t="shared" si="3"/>
        <v>43293857.019999996</v>
      </c>
      <c r="Z21" s="60">
        <f>SUM(Z15:Z19)</f>
        <v>0</v>
      </c>
      <c r="AA21" s="60">
        <f t="shared" si="3"/>
        <v>43293857.019999996</v>
      </c>
      <c r="AB21" s="60">
        <f>SUM(AB15:AB19)</f>
        <v>0</v>
      </c>
      <c r="AC21" s="60">
        <f t="shared" si="3"/>
        <v>43293857.019999996</v>
      </c>
      <c r="AD21" s="15"/>
    </row>
    <row r="22" spans="1:30" ht="15.75" thickTop="1">
      <c r="A22" s="29"/>
      <c r="B22" s="14"/>
      <c r="C22" s="14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15"/>
    </row>
    <row r="23" spans="1:30" ht="16.5" thickBot="1">
      <c r="A23" s="29"/>
      <c r="B23" s="61">
        <v>1000</v>
      </c>
      <c r="C23" s="144" t="s">
        <v>35</v>
      </c>
      <c r="D23" s="62">
        <f>+D25+D28+D31+D37+D44</f>
        <v>193447316.53000003</v>
      </c>
      <c r="E23" s="62">
        <f aca="true" t="shared" si="4" ref="E23:AC23">+E25+E28+E31+E37+E44</f>
        <v>193447316.53</v>
      </c>
      <c r="F23" s="62">
        <f t="shared" si="4"/>
        <v>13400277.85</v>
      </c>
      <c r="G23" s="62">
        <f t="shared" si="4"/>
        <v>13400277.85</v>
      </c>
      <c r="H23" s="62">
        <f>+H25+H28+H31+H37+H44</f>
        <v>13465431.89</v>
      </c>
      <c r="I23" s="62">
        <f t="shared" si="4"/>
        <v>26865709.74</v>
      </c>
      <c r="J23" s="62">
        <f>+J25+J28+J31+J37+J44</f>
        <v>13114011.95</v>
      </c>
      <c r="K23" s="62">
        <f t="shared" si="4"/>
        <v>39979721.69</v>
      </c>
      <c r="L23" s="62">
        <f t="shared" si="4"/>
        <v>0</v>
      </c>
      <c r="M23" s="62">
        <f t="shared" si="4"/>
        <v>39979721.69</v>
      </c>
      <c r="N23" s="62">
        <f>+N25+N28+N31+N37+N44</f>
        <v>0</v>
      </c>
      <c r="O23" s="62">
        <f t="shared" si="4"/>
        <v>39979721.69</v>
      </c>
      <c r="P23" s="62">
        <f>+P25+P28+P31+P37+P44</f>
        <v>0</v>
      </c>
      <c r="Q23" s="62">
        <f t="shared" si="4"/>
        <v>39979721.69</v>
      </c>
      <c r="R23" s="62">
        <f t="shared" si="4"/>
        <v>0</v>
      </c>
      <c r="S23" s="62">
        <f t="shared" si="4"/>
        <v>39979721.69</v>
      </c>
      <c r="T23" s="62">
        <f>+T25+T28+T31+T37+T44</f>
        <v>0</v>
      </c>
      <c r="U23" s="62">
        <f t="shared" si="4"/>
        <v>39979721.69</v>
      </c>
      <c r="V23" s="62">
        <f>+V25+V28+V31+V37+V44</f>
        <v>0</v>
      </c>
      <c r="W23" s="62">
        <f t="shared" si="4"/>
        <v>39979721.69</v>
      </c>
      <c r="X23" s="62">
        <f t="shared" si="4"/>
        <v>0</v>
      </c>
      <c r="Y23" s="62">
        <f t="shared" si="4"/>
        <v>39979721.69</v>
      </c>
      <c r="Z23" s="62">
        <f>+Z25+Z28+Z31+Z37+Z44</f>
        <v>0</v>
      </c>
      <c r="AA23" s="62">
        <f t="shared" si="4"/>
        <v>39979721.69</v>
      </c>
      <c r="AB23" s="62">
        <f>+AB25+AB28+AB31+AB37+AB44</f>
        <v>0</v>
      </c>
      <c r="AC23" s="62">
        <f t="shared" si="4"/>
        <v>39979721.69</v>
      </c>
      <c r="AD23" s="15"/>
    </row>
    <row r="24" spans="1:30" ht="16.5" thickTop="1">
      <c r="A24" s="29"/>
      <c r="B24" s="63"/>
      <c r="C24" s="64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5"/>
    </row>
    <row r="25" spans="1:30" ht="15.75">
      <c r="A25" s="29"/>
      <c r="B25" s="63">
        <v>1100</v>
      </c>
      <c r="C25" s="67" t="s">
        <v>181</v>
      </c>
      <c r="D25" s="68">
        <f aca="true" t="shared" si="5" ref="D25:AC25">SUM(D26:D26)</f>
        <v>32732725.440000005</v>
      </c>
      <c r="E25" s="68">
        <f t="shared" si="5"/>
        <v>32880325.44</v>
      </c>
      <c r="F25" s="68">
        <f t="shared" si="5"/>
        <v>2641207.3</v>
      </c>
      <c r="G25" s="68">
        <f t="shared" si="5"/>
        <v>2641207.3</v>
      </c>
      <c r="H25" s="68">
        <f t="shared" si="5"/>
        <v>2676143.54</v>
      </c>
      <c r="I25" s="68">
        <f t="shared" si="5"/>
        <v>5317350.84</v>
      </c>
      <c r="J25" s="68">
        <f t="shared" si="5"/>
        <v>2588543.05</v>
      </c>
      <c r="K25" s="68">
        <f t="shared" si="5"/>
        <v>7905893.89</v>
      </c>
      <c r="L25" s="68">
        <f t="shared" si="5"/>
        <v>0</v>
      </c>
      <c r="M25" s="68">
        <f t="shared" si="5"/>
        <v>7905893.89</v>
      </c>
      <c r="N25" s="68">
        <f t="shared" si="5"/>
        <v>0</v>
      </c>
      <c r="O25" s="68">
        <f t="shared" si="5"/>
        <v>7905893.89</v>
      </c>
      <c r="P25" s="68">
        <f t="shared" si="5"/>
        <v>0</v>
      </c>
      <c r="Q25" s="68">
        <f t="shared" si="5"/>
        <v>7905893.89</v>
      </c>
      <c r="R25" s="68">
        <f t="shared" si="5"/>
        <v>0</v>
      </c>
      <c r="S25" s="68">
        <f t="shared" si="5"/>
        <v>7905893.89</v>
      </c>
      <c r="T25" s="68">
        <f t="shared" si="5"/>
        <v>0</v>
      </c>
      <c r="U25" s="68">
        <f t="shared" si="5"/>
        <v>7905893.89</v>
      </c>
      <c r="V25" s="68">
        <f t="shared" si="5"/>
        <v>0</v>
      </c>
      <c r="W25" s="68">
        <f t="shared" si="5"/>
        <v>7905893.89</v>
      </c>
      <c r="X25" s="68">
        <f t="shared" si="5"/>
        <v>0</v>
      </c>
      <c r="Y25" s="68">
        <f t="shared" si="5"/>
        <v>7905893.89</v>
      </c>
      <c r="Z25" s="68">
        <f t="shared" si="5"/>
        <v>0</v>
      </c>
      <c r="AA25" s="68">
        <f t="shared" si="5"/>
        <v>7905893.89</v>
      </c>
      <c r="AB25" s="68">
        <f t="shared" si="5"/>
        <v>0</v>
      </c>
      <c r="AC25" s="68">
        <f t="shared" si="5"/>
        <v>7905893.89</v>
      </c>
      <c r="AD25" s="15"/>
    </row>
    <row r="26" spans="1:30" ht="15">
      <c r="A26" s="29"/>
      <c r="B26" s="57">
        <v>1131</v>
      </c>
      <c r="C26" s="14" t="s">
        <v>101</v>
      </c>
      <c r="D26" s="58">
        <f>+PRESUPACUM!D26</f>
        <v>32732725.440000005</v>
      </c>
      <c r="E26" s="58">
        <f>+PRESUPACUM!E26</f>
        <v>32880325.44</v>
      </c>
      <c r="F26" s="18">
        <v>2641207.3</v>
      </c>
      <c r="G26" s="58">
        <f>+F26</f>
        <v>2641207.3</v>
      </c>
      <c r="H26" s="18">
        <v>2676143.54</v>
      </c>
      <c r="I26" s="58">
        <f>+G26+H26</f>
        <v>5317350.84</v>
      </c>
      <c r="J26" s="18">
        <v>2588543.05</v>
      </c>
      <c r="K26" s="58">
        <f>+I26+J26</f>
        <v>7905893.89</v>
      </c>
      <c r="L26" s="18">
        <v>0</v>
      </c>
      <c r="M26" s="58">
        <f>+K26+L26</f>
        <v>7905893.89</v>
      </c>
      <c r="N26" s="18">
        <v>0</v>
      </c>
      <c r="O26" s="58">
        <f>+M26+N26</f>
        <v>7905893.89</v>
      </c>
      <c r="P26" s="18">
        <v>0</v>
      </c>
      <c r="Q26" s="58">
        <f>+O26+P26</f>
        <v>7905893.89</v>
      </c>
      <c r="R26" s="18">
        <v>0</v>
      </c>
      <c r="S26" s="58">
        <f>+Q26+R26</f>
        <v>7905893.89</v>
      </c>
      <c r="T26" s="18">
        <v>0</v>
      </c>
      <c r="U26" s="58">
        <f>+S26+T26</f>
        <v>7905893.89</v>
      </c>
      <c r="V26" s="18">
        <v>0</v>
      </c>
      <c r="W26" s="58">
        <f>+U26+V26</f>
        <v>7905893.89</v>
      </c>
      <c r="X26" s="18">
        <v>0</v>
      </c>
      <c r="Y26" s="58">
        <f>+W26+X26</f>
        <v>7905893.89</v>
      </c>
      <c r="Z26" s="18">
        <v>0</v>
      </c>
      <c r="AA26" s="58">
        <f>+Y26+Z26</f>
        <v>7905893.89</v>
      </c>
      <c r="AB26" s="18">
        <v>0</v>
      </c>
      <c r="AC26" s="15">
        <f>+AA26+AB26</f>
        <v>7905893.89</v>
      </c>
      <c r="AD26" s="15"/>
    </row>
    <row r="27" spans="1:30" ht="15">
      <c r="A27" s="29"/>
      <c r="D27" s="58"/>
      <c r="E27" s="58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ht="15.75">
      <c r="A28" s="29"/>
      <c r="B28" s="69">
        <v>1200</v>
      </c>
      <c r="C28" s="67" t="s">
        <v>182</v>
      </c>
      <c r="D28" s="91">
        <f aca="true" t="shared" si="6" ref="D28:AC28">SUM(D29:D29)</f>
        <v>5038758.53</v>
      </c>
      <c r="E28" s="91">
        <f t="shared" si="6"/>
        <v>5259162.5</v>
      </c>
      <c r="F28" s="68">
        <f t="shared" si="6"/>
        <v>396317.29</v>
      </c>
      <c r="G28" s="68">
        <f t="shared" si="6"/>
        <v>396317.29</v>
      </c>
      <c r="H28" s="68">
        <f t="shared" si="6"/>
        <v>411003.65</v>
      </c>
      <c r="I28" s="68">
        <f t="shared" si="6"/>
        <v>807320.94</v>
      </c>
      <c r="J28" s="68">
        <f t="shared" si="6"/>
        <v>411003.65</v>
      </c>
      <c r="K28" s="68">
        <f t="shared" si="6"/>
        <v>1218324.5899999999</v>
      </c>
      <c r="L28" s="68">
        <f t="shared" si="6"/>
        <v>0</v>
      </c>
      <c r="M28" s="68">
        <f t="shared" si="6"/>
        <v>1218324.5899999999</v>
      </c>
      <c r="N28" s="68">
        <f t="shared" si="6"/>
        <v>0</v>
      </c>
      <c r="O28" s="68">
        <f t="shared" si="6"/>
        <v>1218324.5899999999</v>
      </c>
      <c r="P28" s="68">
        <f t="shared" si="6"/>
        <v>0</v>
      </c>
      <c r="Q28" s="68">
        <f t="shared" si="6"/>
        <v>1218324.5899999999</v>
      </c>
      <c r="R28" s="68">
        <f t="shared" si="6"/>
        <v>0</v>
      </c>
      <c r="S28" s="68">
        <f t="shared" si="6"/>
        <v>1218324.5899999999</v>
      </c>
      <c r="T28" s="68">
        <f t="shared" si="6"/>
        <v>0</v>
      </c>
      <c r="U28" s="68">
        <f t="shared" si="6"/>
        <v>1218324.5899999999</v>
      </c>
      <c r="V28" s="68">
        <f t="shared" si="6"/>
        <v>0</v>
      </c>
      <c r="W28" s="68">
        <f t="shared" si="6"/>
        <v>1218324.5899999999</v>
      </c>
      <c r="X28" s="68">
        <f t="shared" si="6"/>
        <v>0</v>
      </c>
      <c r="Y28" s="68">
        <f t="shared" si="6"/>
        <v>1218324.5899999999</v>
      </c>
      <c r="Z28" s="68">
        <f t="shared" si="6"/>
        <v>0</v>
      </c>
      <c r="AA28" s="68">
        <f t="shared" si="6"/>
        <v>1218324.5899999999</v>
      </c>
      <c r="AB28" s="68">
        <f t="shared" si="6"/>
        <v>0</v>
      </c>
      <c r="AC28" s="68">
        <f t="shared" si="6"/>
        <v>1218324.5899999999</v>
      </c>
      <c r="AD28" s="15"/>
    </row>
    <row r="29" spans="1:30" ht="15">
      <c r="A29" s="29"/>
      <c r="B29" s="57">
        <v>1211</v>
      </c>
      <c r="C29" s="14" t="s">
        <v>202</v>
      </c>
      <c r="D29" s="58">
        <f>+PRESUPACUM!D29</f>
        <v>5038758.53</v>
      </c>
      <c r="E29" s="58">
        <f>+PRESUPACUM!E29</f>
        <v>5259162.5</v>
      </c>
      <c r="F29" s="18">
        <v>396317.29</v>
      </c>
      <c r="G29" s="59">
        <f>+F29</f>
        <v>396317.29</v>
      </c>
      <c r="H29" s="18">
        <v>411003.65</v>
      </c>
      <c r="I29" s="15">
        <f>+G29+H29</f>
        <v>807320.94</v>
      </c>
      <c r="J29" s="18">
        <v>411003.65</v>
      </c>
      <c r="K29" s="15">
        <f>+I29+J29</f>
        <v>1218324.5899999999</v>
      </c>
      <c r="L29" s="18">
        <v>0</v>
      </c>
      <c r="M29" s="15">
        <f>+K29+L29</f>
        <v>1218324.5899999999</v>
      </c>
      <c r="N29" s="18">
        <v>0</v>
      </c>
      <c r="O29" s="15">
        <f>+M29+N29</f>
        <v>1218324.5899999999</v>
      </c>
      <c r="P29" s="18">
        <v>0</v>
      </c>
      <c r="Q29" s="15">
        <f>+O29+P29</f>
        <v>1218324.5899999999</v>
      </c>
      <c r="R29" s="18">
        <v>0</v>
      </c>
      <c r="S29" s="15">
        <f>+Q29+R29</f>
        <v>1218324.5899999999</v>
      </c>
      <c r="T29" s="18">
        <v>0</v>
      </c>
      <c r="U29" s="15">
        <f>+S29+T29</f>
        <v>1218324.5899999999</v>
      </c>
      <c r="V29" s="18">
        <v>0</v>
      </c>
      <c r="W29" s="15">
        <f>+U29+V29</f>
        <v>1218324.5899999999</v>
      </c>
      <c r="X29" s="18">
        <v>0</v>
      </c>
      <c r="Y29" s="15">
        <f>+W29+X29</f>
        <v>1218324.5899999999</v>
      </c>
      <c r="Z29" s="18">
        <v>0</v>
      </c>
      <c r="AA29" s="15">
        <f>+Y29+Z29</f>
        <v>1218324.5899999999</v>
      </c>
      <c r="AB29" s="18">
        <v>0</v>
      </c>
      <c r="AC29" s="15">
        <f>+AA29+AB29</f>
        <v>1218324.5899999999</v>
      </c>
      <c r="AD29" s="15"/>
    </row>
    <row r="30" spans="1:30" ht="15">
      <c r="A30" s="29"/>
      <c r="D30" s="58"/>
      <c r="E30" s="58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ht="15.75">
      <c r="A31" s="29"/>
      <c r="B31" s="69">
        <v>1300</v>
      </c>
      <c r="C31" s="67" t="s">
        <v>15</v>
      </c>
      <c r="D31" s="92">
        <f aca="true" t="shared" si="7" ref="D31:AC31">SUM(D32:D35)</f>
        <v>23987064.840000004</v>
      </c>
      <c r="E31" s="92">
        <f>SUM(E32:E35)</f>
        <v>24041974.84</v>
      </c>
      <c r="F31" s="70">
        <f t="shared" si="7"/>
        <v>3878.69</v>
      </c>
      <c r="G31" s="70">
        <f t="shared" si="7"/>
        <v>3878.69</v>
      </c>
      <c r="H31" s="70">
        <f>SUM(H32:H35)</f>
        <v>36394.880000000005</v>
      </c>
      <c r="I31" s="70">
        <f t="shared" si="7"/>
        <v>40273.57</v>
      </c>
      <c r="J31" s="70">
        <f>SUM(J32:J35)</f>
        <v>2670</v>
      </c>
      <c r="K31" s="70">
        <f t="shared" si="7"/>
        <v>42943.57</v>
      </c>
      <c r="L31" s="70">
        <f t="shared" si="7"/>
        <v>0</v>
      </c>
      <c r="M31" s="70">
        <f t="shared" si="7"/>
        <v>42943.57</v>
      </c>
      <c r="N31" s="70">
        <f>SUM(N32:N35)</f>
        <v>0</v>
      </c>
      <c r="O31" s="70">
        <f t="shared" si="7"/>
        <v>42943.57</v>
      </c>
      <c r="P31" s="70">
        <f>SUM(P32:P35)</f>
        <v>0</v>
      </c>
      <c r="Q31" s="70">
        <f t="shared" si="7"/>
        <v>42943.57</v>
      </c>
      <c r="R31" s="70">
        <f>SUM(R32:R35)</f>
        <v>0</v>
      </c>
      <c r="S31" s="70">
        <f t="shared" si="7"/>
        <v>42943.57</v>
      </c>
      <c r="T31" s="70">
        <f t="shared" si="7"/>
        <v>0</v>
      </c>
      <c r="U31" s="70">
        <f t="shared" si="7"/>
        <v>42943.57</v>
      </c>
      <c r="V31" s="70">
        <f>SUM(V32:V35)</f>
        <v>0</v>
      </c>
      <c r="W31" s="70">
        <f t="shared" si="7"/>
        <v>42943.57</v>
      </c>
      <c r="X31" s="70">
        <f>SUM(X32:X35)</f>
        <v>0</v>
      </c>
      <c r="Y31" s="70">
        <f t="shared" si="7"/>
        <v>42943.57</v>
      </c>
      <c r="Z31" s="70">
        <f t="shared" si="7"/>
        <v>0</v>
      </c>
      <c r="AA31" s="70">
        <f t="shared" si="7"/>
        <v>42943.57</v>
      </c>
      <c r="AB31" s="70">
        <f>SUM(AB32:AB35)</f>
        <v>0</v>
      </c>
      <c r="AC31" s="70">
        <f t="shared" si="7"/>
        <v>42943.57</v>
      </c>
      <c r="AD31" s="15"/>
    </row>
    <row r="32" spans="1:30" ht="15">
      <c r="A32" s="29"/>
      <c r="B32" s="57">
        <v>1311</v>
      </c>
      <c r="C32" s="26" t="s">
        <v>102</v>
      </c>
      <c r="D32" s="93">
        <f>+PRESUPACUM!D32</f>
        <v>20651.4</v>
      </c>
      <c r="E32" s="93">
        <f>+PRESUPACUM!E32</f>
        <v>32561.4</v>
      </c>
      <c r="F32" s="17">
        <v>2720.5</v>
      </c>
      <c r="G32" s="59">
        <f>+F32</f>
        <v>2720.5</v>
      </c>
      <c r="H32" s="17">
        <v>2670</v>
      </c>
      <c r="I32" s="15">
        <f>+G32+H32</f>
        <v>5390.5</v>
      </c>
      <c r="J32" s="17">
        <v>2670</v>
      </c>
      <c r="K32" s="15">
        <f>+I32+J32</f>
        <v>8060.5</v>
      </c>
      <c r="L32" s="17">
        <v>0</v>
      </c>
      <c r="M32" s="15">
        <f>+K32+L32</f>
        <v>8060.5</v>
      </c>
      <c r="N32" s="17">
        <v>0</v>
      </c>
      <c r="O32" s="15">
        <f>+M32+N32</f>
        <v>8060.5</v>
      </c>
      <c r="P32" s="17">
        <v>0</v>
      </c>
      <c r="Q32" s="15">
        <f>+O32+P32</f>
        <v>8060.5</v>
      </c>
      <c r="R32" s="17">
        <v>0</v>
      </c>
      <c r="S32" s="15">
        <f>+Q32+R32</f>
        <v>8060.5</v>
      </c>
      <c r="T32" s="17">
        <v>0</v>
      </c>
      <c r="U32" s="15">
        <f>+S32+T32</f>
        <v>8060.5</v>
      </c>
      <c r="V32" s="17">
        <v>0</v>
      </c>
      <c r="W32" s="15">
        <f>+U32+V32</f>
        <v>8060.5</v>
      </c>
      <c r="X32" s="17">
        <v>0</v>
      </c>
      <c r="Y32" s="15">
        <f>+W32+X32</f>
        <v>8060.5</v>
      </c>
      <c r="Z32" s="17">
        <v>0</v>
      </c>
      <c r="AA32" s="15">
        <f>+Y32+Z32</f>
        <v>8060.5</v>
      </c>
      <c r="AB32" s="17">
        <v>0</v>
      </c>
      <c r="AC32" s="15">
        <f>+AA32+AB32</f>
        <v>8060.5</v>
      </c>
      <c r="AD32" s="15"/>
    </row>
    <row r="33" spans="1:40" ht="15">
      <c r="A33" s="29"/>
      <c r="B33" s="57">
        <v>1321</v>
      </c>
      <c r="C33" s="14" t="s">
        <v>103</v>
      </c>
      <c r="D33" s="93">
        <f>+PRESUPACUM!D33</f>
        <v>3065133.1199999996</v>
      </c>
      <c r="E33" s="93">
        <f>+PRESUPACUM!E33</f>
        <v>3088133.12</v>
      </c>
      <c r="F33" s="17">
        <v>1158.19</v>
      </c>
      <c r="G33" s="59">
        <f>+F33</f>
        <v>1158.19</v>
      </c>
      <c r="H33" s="17">
        <v>14665.15</v>
      </c>
      <c r="I33" s="15">
        <f>+G33+H33</f>
        <v>15823.34</v>
      </c>
      <c r="J33" s="17">
        <v>0</v>
      </c>
      <c r="K33" s="15">
        <f>+I33+J33</f>
        <v>15823.34</v>
      </c>
      <c r="L33" s="17">
        <v>0</v>
      </c>
      <c r="M33" s="15">
        <f>+K33+L33</f>
        <v>15823.34</v>
      </c>
      <c r="N33" s="17">
        <v>0</v>
      </c>
      <c r="O33" s="15">
        <f>+M33+N33</f>
        <v>15823.34</v>
      </c>
      <c r="P33" s="17">
        <v>0</v>
      </c>
      <c r="Q33" s="15">
        <f>+O33+P33</f>
        <v>15823.34</v>
      </c>
      <c r="R33" s="17">
        <v>0</v>
      </c>
      <c r="S33" s="15">
        <f>+Q33+R33</f>
        <v>15823.34</v>
      </c>
      <c r="T33" s="17">
        <v>0</v>
      </c>
      <c r="U33" s="15">
        <f>+S33+T33</f>
        <v>15823.34</v>
      </c>
      <c r="V33" s="17">
        <v>0</v>
      </c>
      <c r="W33" s="15">
        <f>+U33+V33</f>
        <v>15823.34</v>
      </c>
      <c r="X33" s="17">
        <v>0</v>
      </c>
      <c r="Y33" s="15">
        <f>+W33+X33</f>
        <v>15823.34</v>
      </c>
      <c r="Z33" s="17">
        <v>0</v>
      </c>
      <c r="AA33" s="15">
        <f>+Y33+Z33</f>
        <v>15823.34</v>
      </c>
      <c r="AB33" s="17">
        <v>0</v>
      </c>
      <c r="AC33" s="15">
        <f>+AA33+AB33</f>
        <v>15823.34</v>
      </c>
      <c r="AD33" s="59"/>
      <c r="AE33" s="15"/>
      <c r="AF33" s="15"/>
      <c r="AG33" s="15"/>
      <c r="AH33" s="15"/>
      <c r="AI33" s="15"/>
      <c r="AJ33" s="15"/>
      <c r="AK33" s="15"/>
      <c r="AL33" s="15"/>
      <c r="AM33" s="15"/>
      <c r="AN33" s="22"/>
    </row>
    <row r="34" spans="1:30" ht="15">
      <c r="A34" s="29"/>
      <c r="B34" s="57">
        <v>1323</v>
      </c>
      <c r="C34" s="14" t="s">
        <v>55</v>
      </c>
      <c r="D34" s="58">
        <f>+PRESUPACUM!D34</f>
        <v>20901280.320000004</v>
      </c>
      <c r="E34" s="58">
        <f>+PRESUPACUM!E34</f>
        <v>20921280.32</v>
      </c>
      <c r="F34" s="18">
        <v>0</v>
      </c>
      <c r="G34" s="59">
        <f>+F34</f>
        <v>0</v>
      </c>
      <c r="H34" s="18">
        <v>19059.73</v>
      </c>
      <c r="I34" s="15">
        <f>+G34+H34</f>
        <v>19059.73</v>
      </c>
      <c r="J34" s="18">
        <v>0</v>
      </c>
      <c r="K34" s="15">
        <f>+I34+J34</f>
        <v>19059.73</v>
      </c>
      <c r="L34" s="18">
        <v>0</v>
      </c>
      <c r="M34" s="15">
        <f>+K34+L34</f>
        <v>19059.73</v>
      </c>
      <c r="N34" s="18">
        <v>0</v>
      </c>
      <c r="O34" s="15">
        <f>+M34+N34</f>
        <v>19059.73</v>
      </c>
      <c r="P34" s="18">
        <v>0</v>
      </c>
      <c r="Q34" s="15">
        <f>+O34+P34</f>
        <v>19059.73</v>
      </c>
      <c r="R34" s="18">
        <v>0</v>
      </c>
      <c r="S34" s="15">
        <f>+Q34+R34</f>
        <v>19059.73</v>
      </c>
      <c r="T34" s="18">
        <v>0</v>
      </c>
      <c r="U34" s="15">
        <f>+S34+T34</f>
        <v>19059.73</v>
      </c>
      <c r="V34" s="18">
        <v>0</v>
      </c>
      <c r="W34" s="15">
        <f>+U34+V34</f>
        <v>19059.73</v>
      </c>
      <c r="X34" s="18">
        <v>0</v>
      </c>
      <c r="Y34" s="15">
        <f>+W34+X34</f>
        <v>19059.73</v>
      </c>
      <c r="Z34" s="18">
        <v>0</v>
      </c>
      <c r="AA34" s="15">
        <f>+Y34+Z34</f>
        <v>19059.73</v>
      </c>
      <c r="AB34" s="18">
        <v>0</v>
      </c>
      <c r="AC34" s="15">
        <f>+AA34+AB34</f>
        <v>19059.73</v>
      </c>
      <c r="AD34" s="15"/>
    </row>
    <row r="35" spans="1:30" ht="15">
      <c r="A35" s="29"/>
      <c r="B35" s="57">
        <v>1342</v>
      </c>
      <c r="C35" s="14" t="s">
        <v>23</v>
      </c>
      <c r="D35" s="58">
        <f>+PRESUPACUM!D35</f>
        <v>0</v>
      </c>
      <c r="E35" s="58">
        <f>+PRESUPACUM!E35</f>
        <v>0</v>
      </c>
      <c r="F35" s="18">
        <v>0</v>
      </c>
      <c r="G35" s="59">
        <f>+F35</f>
        <v>0</v>
      </c>
      <c r="H35" s="18">
        <v>0</v>
      </c>
      <c r="I35" s="15">
        <f>+G35+H35</f>
        <v>0</v>
      </c>
      <c r="J35" s="18">
        <v>0</v>
      </c>
      <c r="K35" s="15">
        <f>+I35+J35</f>
        <v>0</v>
      </c>
      <c r="L35" s="18">
        <v>0</v>
      </c>
      <c r="M35" s="15">
        <f>+K35+L35</f>
        <v>0</v>
      </c>
      <c r="N35" s="18">
        <v>0</v>
      </c>
      <c r="O35" s="15">
        <f>+M35+N35</f>
        <v>0</v>
      </c>
      <c r="P35" s="18">
        <v>0</v>
      </c>
      <c r="Q35" s="15">
        <f>+O35+P35</f>
        <v>0</v>
      </c>
      <c r="R35" s="18">
        <v>0</v>
      </c>
      <c r="S35" s="15">
        <f>+Q35+R35</f>
        <v>0</v>
      </c>
      <c r="T35" s="18">
        <v>0</v>
      </c>
      <c r="U35" s="15">
        <f>+S35+T35</f>
        <v>0</v>
      </c>
      <c r="V35" s="18">
        <v>0</v>
      </c>
      <c r="W35" s="15">
        <f>+U35+V35</f>
        <v>0</v>
      </c>
      <c r="X35" s="18">
        <v>0</v>
      </c>
      <c r="Y35" s="15">
        <f>+W35+X35</f>
        <v>0</v>
      </c>
      <c r="Z35" s="18">
        <v>0</v>
      </c>
      <c r="AA35" s="15">
        <f>+Y35+Z35</f>
        <v>0</v>
      </c>
      <c r="AB35" s="18">
        <v>0</v>
      </c>
      <c r="AC35" s="15">
        <f>+AA35+AB35</f>
        <v>0</v>
      </c>
      <c r="AD35" s="15"/>
    </row>
    <row r="36" spans="1:30" ht="15">
      <c r="A36" s="29"/>
      <c r="B36" s="66"/>
      <c r="D36" s="58"/>
      <c r="E36" s="58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 ht="15.75">
      <c r="A37" s="29"/>
      <c r="B37" s="69">
        <v>1400</v>
      </c>
      <c r="C37" s="67" t="s">
        <v>183</v>
      </c>
      <c r="D37" s="92">
        <f>SUM(D38:D42)</f>
        <v>12698605.039999997</v>
      </c>
      <c r="E37" s="92">
        <f>SUM(E38:E42)</f>
        <v>12780805.04</v>
      </c>
      <c r="F37" s="92">
        <f aca="true" t="shared" si="8" ref="F37:AC37">SUM(F38:F42)</f>
        <v>1010620.8</v>
      </c>
      <c r="G37" s="92">
        <f t="shared" si="8"/>
        <v>1010620.8</v>
      </c>
      <c r="H37" s="92">
        <f>SUM(H38:H42)</f>
        <v>995244.94</v>
      </c>
      <c r="I37" s="92">
        <f t="shared" si="8"/>
        <v>2005865.74</v>
      </c>
      <c r="J37" s="92">
        <f>SUM(J38:J42)</f>
        <v>1091378.85</v>
      </c>
      <c r="K37" s="92">
        <f t="shared" si="8"/>
        <v>3097244.59</v>
      </c>
      <c r="L37" s="92">
        <f t="shared" si="8"/>
        <v>0</v>
      </c>
      <c r="M37" s="92">
        <f t="shared" si="8"/>
        <v>3097244.59</v>
      </c>
      <c r="N37" s="92">
        <f>SUM(N38:N42)</f>
        <v>0</v>
      </c>
      <c r="O37" s="92">
        <f t="shared" si="8"/>
        <v>3097244.59</v>
      </c>
      <c r="P37" s="92">
        <f>SUM(P38:P42)</f>
        <v>0</v>
      </c>
      <c r="Q37" s="92">
        <f t="shared" si="8"/>
        <v>3097244.59</v>
      </c>
      <c r="R37" s="92">
        <f>SUM(R38:R42)</f>
        <v>0</v>
      </c>
      <c r="S37" s="92">
        <f t="shared" si="8"/>
        <v>3097244.59</v>
      </c>
      <c r="T37" s="92">
        <f t="shared" si="8"/>
        <v>0</v>
      </c>
      <c r="U37" s="92">
        <f t="shared" si="8"/>
        <v>3097244.59</v>
      </c>
      <c r="V37" s="92">
        <f>SUM(V38:V42)</f>
        <v>0</v>
      </c>
      <c r="W37" s="92">
        <f t="shared" si="8"/>
        <v>3097244.59</v>
      </c>
      <c r="X37" s="92">
        <f>SUM(X38:X42)</f>
        <v>0</v>
      </c>
      <c r="Y37" s="92">
        <f t="shared" si="8"/>
        <v>3097244.59</v>
      </c>
      <c r="Z37" s="92">
        <f t="shared" si="8"/>
        <v>0</v>
      </c>
      <c r="AA37" s="92">
        <f t="shared" si="8"/>
        <v>3097244.59</v>
      </c>
      <c r="AB37" s="92">
        <f>SUM(AB38:AB42)</f>
        <v>0</v>
      </c>
      <c r="AC37" s="92">
        <f t="shared" si="8"/>
        <v>3097244.59</v>
      </c>
      <c r="AD37" s="15"/>
    </row>
    <row r="38" spans="1:30" ht="15">
      <c r="A38" s="29"/>
      <c r="B38" s="57">
        <v>1411</v>
      </c>
      <c r="C38" s="14" t="s">
        <v>104</v>
      </c>
      <c r="D38" s="94">
        <f>+PRESUPACUM!D38</f>
        <v>4237610.76</v>
      </c>
      <c r="E38" s="94">
        <f>+PRESUPACUM!E38</f>
        <v>4280710.76</v>
      </c>
      <c r="F38" s="72">
        <v>340587.84</v>
      </c>
      <c r="G38" s="59">
        <f>+F38</f>
        <v>340587.84</v>
      </c>
      <c r="H38" s="72">
        <v>342533.56</v>
      </c>
      <c r="I38" s="15">
        <f>+G38+H38</f>
        <v>683121.4</v>
      </c>
      <c r="J38" s="72">
        <v>336511.96</v>
      </c>
      <c r="K38" s="15">
        <f>+I38+J38</f>
        <v>1019633.3600000001</v>
      </c>
      <c r="L38" s="72">
        <v>0</v>
      </c>
      <c r="M38" s="15">
        <f>+K38+L38</f>
        <v>1019633.3600000001</v>
      </c>
      <c r="N38" s="72">
        <v>0</v>
      </c>
      <c r="O38" s="15">
        <f>+M38+N38</f>
        <v>1019633.3600000001</v>
      </c>
      <c r="P38" s="72">
        <v>0</v>
      </c>
      <c r="Q38" s="15">
        <f>+O38+P38</f>
        <v>1019633.3600000001</v>
      </c>
      <c r="R38" s="72">
        <v>0</v>
      </c>
      <c r="S38" s="15">
        <f>+Q38+R38</f>
        <v>1019633.3600000001</v>
      </c>
      <c r="T38" s="72">
        <v>0</v>
      </c>
      <c r="U38" s="15">
        <f>+S38+T38</f>
        <v>1019633.3600000001</v>
      </c>
      <c r="V38" s="72">
        <v>0</v>
      </c>
      <c r="W38" s="15">
        <f>+U38+V38</f>
        <v>1019633.3600000001</v>
      </c>
      <c r="X38" s="72">
        <v>0</v>
      </c>
      <c r="Y38" s="15">
        <f>+W38+X38</f>
        <v>1019633.3600000001</v>
      </c>
      <c r="Z38" s="72">
        <v>0</v>
      </c>
      <c r="AA38" s="15">
        <f>+Y38+Z38</f>
        <v>1019633.3600000001</v>
      </c>
      <c r="AB38" s="72">
        <v>0</v>
      </c>
      <c r="AC38" s="15">
        <f>+AA38+AB38</f>
        <v>1019633.3600000001</v>
      </c>
      <c r="AD38" s="15"/>
    </row>
    <row r="39" spans="1:30" ht="15">
      <c r="A39" s="29"/>
      <c r="B39" s="57">
        <v>1421</v>
      </c>
      <c r="C39" s="14" t="s">
        <v>105</v>
      </c>
      <c r="D39" s="58">
        <f>+PRESUPACUM!D39</f>
        <v>1611870.9599999995</v>
      </c>
      <c r="E39" s="58">
        <f>+PRESUPACUM!E39</f>
        <v>1631370.96</v>
      </c>
      <c r="F39" s="18">
        <v>129684.22</v>
      </c>
      <c r="G39" s="59">
        <f>+F39</f>
        <v>129684.22</v>
      </c>
      <c r="H39" s="18">
        <v>130421.78</v>
      </c>
      <c r="I39" s="15">
        <f>+G39+H39</f>
        <v>260106</v>
      </c>
      <c r="J39" s="18">
        <v>128132.7</v>
      </c>
      <c r="K39" s="15">
        <f>+I39+J39</f>
        <v>388238.7</v>
      </c>
      <c r="L39" s="18">
        <v>0</v>
      </c>
      <c r="M39" s="15">
        <f>+K39+L39</f>
        <v>388238.7</v>
      </c>
      <c r="N39" s="18">
        <v>0</v>
      </c>
      <c r="O39" s="15">
        <f>+M39+N39</f>
        <v>388238.7</v>
      </c>
      <c r="P39" s="18">
        <v>0</v>
      </c>
      <c r="Q39" s="15">
        <f>+O39+P39</f>
        <v>388238.7</v>
      </c>
      <c r="R39" s="18">
        <v>0</v>
      </c>
      <c r="S39" s="15">
        <f>+Q39+R39</f>
        <v>388238.7</v>
      </c>
      <c r="T39" s="18">
        <v>0</v>
      </c>
      <c r="U39" s="15">
        <f>+S39+T39</f>
        <v>388238.7</v>
      </c>
      <c r="V39" s="18">
        <v>0</v>
      </c>
      <c r="W39" s="15">
        <f>+U39+V39</f>
        <v>388238.7</v>
      </c>
      <c r="X39" s="18">
        <v>0</v>
      </c>
      <c r="Y39" s="15">
        <f>+W39+X39</f>
        <v>388238.7</v>
      </c>
      <c r="Z39" s="18">
        <v>0</v>
      </c>
      <c r="AA39" s="15">
        <f>+Y39+Z39</f>
        <v>388238.7</v>
      </c>
      <c r="AB39" s="18">
        <v>0</v>
      </c>
      <c r="AC39" s="15">
        <f>+AA39+AB39</f>
        <v>388238.7</v>
      </c>
      <c r="AD39" s="15"/>
    </row>
    <row r="40" spans="1:30" ht="15">
      <c r="A40" s="29"/>
      <c r="B40" s="57">
        <v>1431</v>
      </c>
      <c r="C40" s="14" t="s">
        <v>106</v>
      </c>
      <c r="D40" s="58">
        <f>+PRESUPACUM!D40</f>
        <v>1544990.0399999993</v>
      </c>
      <c r="E40" s="58">
        <f>+PRESUPACUM!E40</f>
        <v>1564590.04</v>
      </c>
      <c r="F40" s="18">
        <v>119927.5</v>
      </c>
      <c r="G40" s="59">
        <f>+F40</f>
        <v>119927.5</v>
      </c>
      <c r="H40" s="18">
        <v>123060.07</v>
      </c>
      <c r="I40" s="15">
        <f>+G40+H40</f>
        <v>242987.57</v>
      </c>
      <c r="J40" s="18">
        <v>120351.66</v>
      </c>
      <c r="K40" s="15">
        <f>+I40+J40</f>
        <v>363339.23</v>
      </c>
      <c r="L40" s="18">
        <v>0</v>
      </c>
      <c r="M40" s="15">
        <f>+K40+L40</f>
        <v>363339.23</v>
      </c>
      <c r="N40" s="18">
        <v>0</v>
      </c>
      <c r="O40" s="15">
        <f>+M40+N40</f>
        <v>363339.23</v>
      </c>
      <c r="P40" s="18">
        <v>0</v>
      </c>
      <c r="Q40" s="15">
        <f>+O40+P40</f>
        <v>363339.23</v>
      </c>
      <c r="R40" s="18">
        <v>0</v>
      </c>
      <c r="S40" s="15">
        <f>+Q40+R40</f>
        <v>363339.23</v>
      </c>
      <c r="T40" s="18">
        <v>0</v>
      </c>
      <c r="U40" s="15">
        <f>+S40+T40</f>
        <v>363339.23</v>
      </c>
      <c r="V40" s="18">
        <v>0</v>
      </c>
      <c r="W40" s="15">
        <f>+U40+V40</f>
        <v>363339.23</v>
      </c>
      <c r="X40" s="18">
        <v>0</v>
      </c>
      <c r="Y40" s="15">
        <f>+W40+X40</f>
        <v>363339.23</v>
      </c>
      <c r="Z40" s="18">
        <v>0</v>
      </c>
      <c r="AA40" s="15">
        <f>+Y40+Z40</f>
        <v>363339.23</v>
      </c>
      <c r="AB40" s="18">
        <v>0</v>
      </c>
      <c r="AC40" s="15">
        <f>+AA40+AB40</f>
        <v>363339.23</v>
      </c>
      <c r="AD40" s="15"/>
    </row>
    <row r="41" spans="1:30" ht="15">
      <c r="A41" s="29"/>
      <c r="B41" s="57">
        <v>1441</v>
      </c>
      <c r="C41" s="23" t="s">
        <v>107</v>
      </c>
      <c r="D41" s="58">
        <f>+PRESUPACUM!D41</f>
        <v>477147.44999999995</v>
      </c>
      <c r="E41" s="58">
        <f>+PRESUPACUM!E41</f>
        <v>477147.44999999995</v>
      </c>
      <c r="F41" s="18">
        <v>39762.28</v>
      </c>
      <c r="G41" s="59">
        <f>+F41</f>
        <v>39762.28</v>
      </c>
      <c r="H41" s="18">
        <v>39762.28</v>
      </c>
      <c r="I41" s="15">
        <f>+G41+H41</f>
        <v>79524.56</v>
      </c>
      <c r="J41" s="18">
        <v>39762.28</v>
      </c>
      <c r="K41" s="15">
        <f>+I41+J41</f>
        <v>119286.84</v>
      </c>
      <c r="L41" s="18">
        <v>0</v>
      </c>
      <c r="M41" s="15">
        <f>+K41+L41</f>
        <v>119286.84</v>
      </c>
      <c r="N41" s="18">
        <v>0</v>
      </c>
      <c r="O41" s="15">
        <f>+M41+N41</f>
        <v>119286.84</v>
      </c>
      <c r="P41" s="18">
        <v>0</v>
      </c>
      <c r="Q41" s="15">
        <f>+O41+P41</f>
        <v>119286.84</v>
      </c>
      <c r="R41" s="18">
        <v>0</v>
      </c>
      <c r="S41" s="15">
        <f>+Q41+R41</f>
        <v>119286.84</v>
      </c>
      <c r="T41" s="18">
        <v>0</v>
      </c>
      <c r="U41" s="15">
        <f>+S41+T41</f>
        <v>119286.84</v>
      </c>
      <c r="V41" s="18">
        <v>0</v>
      </c>
      <c r="W41" s="15">
        <f>+U41+V41</f>
        <v>119286.84</v>
      </c>
      <c r="X41" s="18">
        <v>0</v>
      </c>
      <c r="Y41" s="15">
        <f>+W41+X41</f>
        <v>119286.84</v>
      </c>
      <c r="Z41" s="18">
        <v>0</v>
      </c>
      <c r="AA41" s="15">
        <f>+Y41+Z41</f>
        <v>119286.84</v>
      </c>
      <c r="AB41" s="18">
        <v>0</v>
      </c>
      <c r="AC41" s="15">
        <f>+AA41+AB41</f>
        <v>119286.84</v>
      </c>
      <c r="AD41" s="15"/>
    </row>
    <row r="42" spans="1:30" ht="15">
      <c r="A42" s="29"/>
      <c r="B42" s="57">
        <v>1449</v>
      </c>
      <c r="C42" s="23" t="s">
        <v>232</v>
      </c>
      <c r="D42" s="58">
        <f>+PRESUPACUM!D42</f>
        <v>4826985.829999999</v>
      </c>
      <c r="E42" s="58">
        <f>+PRESUPACUM!E42</f>
        <v>4826985.83</v>
      </c>
      <c r="F42" s="18">
        <f>402248.82-21589.86</f>
        <v>380658.96</v>
      </c>
      <c r="G42" s="59">
        <f>+F42</f>
        <v>380658.96</v>
      </c>
      <c r="H42" s="18">
        <f>402248.82-42781.57</f>
        <v>359467.25</v>
      </c>
      <c r="I42" s="15">
        <f>+G42+H42</f>
        <v>740126.21</v>
      </c>
      <c r="J42" s="18">
        <f>402248.82-48903.92+113275.35</f>
        <v>466620.25</v>
      </c>
      <c r="K42" s="15">
        <f>+I42+J42</f>
        <v>1206746.46</v>
      </c>
      <c r="L42" s="18">
        <v>0</v>
      </c>
      <c r="M42" s="15">
        <f>+K42+L42</f>
        <v>1206746.46</v>
      </c>
      <c r="N42" s="18">
        <v>0</v>
      </c>
      <c r="O42" s="15">
        <f>+M42+N42</f>
        <v>1206746.46</v>
      </c>
      <c r="P42" s="18">
        <v>0</v>
      </c>
      <c r="Q42" s="15">
        <f>+O42+P42</f>
        <v>1206746.46</v>
      </c>
      <c r="R42" s="18">
        <v>0</v>
      </c>
      <c r="S42" s="15">
        <f>+Q42+R42</f>
        <v>1206746.46</v>
      </c>
      <c r="T42" s="18">
        <v>0</v>
      </c>
      <c r="U42" s="15">
        <f>+S42+T42</f>
        <v>1206746.46</v>
      </c>
      <c r="V42" s="18">
        <v>0</v>
      </c>
      <c r="W42" s="15">
        <f>+U42+V42</f>
        <v>1206746.46</v>
      </c>
      <c r="X42" s="18">
        <v>0</v>
      </c>
      <c r="Y42" s="15">
        <f>+W42+X42</f>
        <v>1206746.46</v>
      </c>
      <c r="Z42" s="18">
        <v>0</v>
      </c>
      <c r="AA42" s="15">
        <f>+Y42+Z42</f>
        <v>1206746.46</v>
      </c>
      <c r="AB42" s="96">
        <v>0</v>
      </c>
      <c r="AC42" s="15">
        <f>+AA42+AB42</f>
        <v>1206746.46</v>
      </c>
      <c r="AD42" s="15"/>
    </row>
    <row r="43" spans="1:30" ht="15">
      <c r="A43" s="29"/>
      <c r="B43" s="66"/>
      <c r="D43" s="58"/>
      <c r="E43" s="58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</row>
    <row r="44" spans="1:30" ht="15.75">
      <c r="A44" s="29"/>
      <c r="B44" s="69">
        <v>1500</v>
      </c>
      <c r="C44" s="67" t="s">
        <v>184</v>
      </c>
      <c r="D44" s="92">
        <f>SUM(D45:D50)</f>
        <v>118990162.68000004</v>
      </c>
      <c r="E44" s="92">
        <f>SUM(E45:E50)</f>
        <v>118485048.71000001</v>
      </c>
      <c r="F44" s="92">
        <f aca="true" t="shared" si="9" ref="F44:AC44">SUM(F45:F50)</f>
        <v>9348253.77</v>
      </c>
      <c r="G44" s="92">
        <f t="shared" si="9"/>
        <v>9348253.77</v>
      </c>
      <c r="H44" s="92">
        <f>SUM(H45:H50)</f>
        <v>9346644.88</v>
      </c>
      <c r="I44" s="92">
        <f t="shared" si="9"/>
        <v>18694898.65</v>
      </c>
      <c r="J44" s="92">
        <f>SUM(J45:J50)</f>
        <v>9020416.4</v>
      </c>
      <c r="K44" s="92">
        <f t="shared" si="9"/>
        <v>27715315.05</v>
      </c>
      <c r="L44" s="92">
        <f t="shared" si="9"/>
        <v>0</v>
      </c>
      <c r="M44" s="92">
        <f t="shared" si="9"/>
        <v>27715315.05</v>
      </c>
      <c r="N44" s="92">
        <f>SUM(N45:N50)</f>
        <v>0</v>
      </c>
      <c r="O44" s="92">
        <f t="shared" si="9"/>
        <v>27715315.05</v>
      </c>
      <c r="P44" s="92">
        <f>SUM(P45:P50)</f>
        <v>0</v>
      </c>
      <c r="Q44" s="92">
        <f t="shared" si="9"/>
        <v>27715315.05</v>
      </c>
      <c r="R44" s="92">
        <f>SUM(R45:R50)</f>
        <v>0</v>
      </c>
      <c r="S44" s="92">
        <f t="shared" si="9"/>
        <v>27715315.05</v>
      </c>
      <c r="T44" s="92">
        <f t="shared" si="9"/>
        <v>0</v>
      </c>
      <c r="U44" s="92">
        <f t="shared" si="9"/>
        <v>27715315.05</v>
      </c>
      <c r="V44" s="92">
        <f>SUM(V45:V50)</f>
        <v>0</v>
      </c>
      <c r="W44" s="92">
        <f t="shared" si="9"/>
        <v>27715315.05</v>
      </c>
      <c r="X44" s="92">
        <f>SUM(X45:X50)</f>
        <v>0</v>
      </c>
      <c r="Y44" s="92">
        <f t="shared" si="9"/>
        <v>27715315.05</v>
      </c>
      <c r="Z44" s="92">
        <f t="shared" si="9"/>
        <v>0</v>
      </c>
      <c r="AA44" s="92">
        <f t="shared" si="9"/>
        <v>27715315.05</v>
      </c>
      <c r="AB44" s="92">
        <f>SUM(AB45:AB50)</f>
        <v>0</v>
      </c>
      <c r="AC44" s="92">
        <f t="shared" si="9"/>
        <v>27715315.05</v>
      </c>
      <c r="AD44" s="15"/>
    </row>
    <row r="45" spans="1:36" ht="15">
      <c r="A45" s="29"/>
      <c r="B45" s="57">
        <v>1511</v>
      </c>
      <c r="C45" s="26" t="s">
        <v>108</v>
      </c>
      <c r="D45" s="93">
        <f>+PRESUPACUM!D45</f>
        <v>14464494.6</v>
      </c>
      <c r="E45" s="93">
        <f>+PRESUPACUM!E45</f>
        <v>14466154.6</v>
      </c>
      <c r="F45" s="17">
        <v>1119700.42</v>
      </c>
      <c r="G45" s="59">
        <f aca="true" t="shared" si="10" ref="G45:G50">+F45</f>
        <v>1119700.42</v>
      </c>
      <c r="H45" s="17">
        <v>1121495.34</v>
      </c>
      <c r="I45" s="15">
        <f aca="true" t="shared" si="11" ref="I45:I50">+G45+H45</f>
        <v>2241195.76</v>
      </c>
      <c r="J45" s="17">
        <v>1100270.7</v>
      </c>
      <c r="K45" s="15">
        <f aca="true" t="shared" si="12" ref="K45:K50">+I45+J45</f>
        <v>3341466.46</v>
      </c>
      <c r="L45" s="17">
        <v>0</v>
      </c>
      <c r="M45" s="15">
        <f aca="true" t="shared" si="13" ref="M45:M50">+K45+L45</f>
        <v>3341466.46</v>
      </c>
      <c r="N45" s="17">
        <v>0</v>
      </c>
      <c r="O45" s="15">
        <f aca="true" t="shared" si="14" ref="O45:O50">+M45+N45</f>
        <v>3341466.46</v>
      </c>
      <c r="P45" s="17">
        <v>0</v>
      </c>
      <c r="Q45" s="15">
        <f aca="true" t="shared" si="15" ref="Q45:Q50">+O45+P45</f>
        <v>3341466.46</v>
      </c>
      <c r="R45" s="17">
        <v>0</v>
      </c>
      <c r="S45" s="15">
        <f aca="true" t="shared" si="16" ref="S45:S50">+Q45+R45</f>
        <v>3341466.46</v>
      </c>
      <c r="T45" s="17">
        <v>0</v>
      </c>
      <c r="U45" s="15">
        <f aca="true" t="shared" si="17" ref="U45:U50">+S45+T45</f>
        <v>3341466.46</v>
      </c>
      <c r="V45" s="17">
        <v>0</v>
      </c>
      <c r="W45" s="15">
        <f aca="true" t="shared" si="18" ref="W45:W50">+U45+V45</f>
        <v>3341466.46</v>
      </c>
      <c r="X45" s="17">
        <v>0</v>
      </c>
      <c r="Y45" s="15">
        <f aca="true" t="shared" si="19" ref="Y45:Y50">+W45+X45</f>
        <v>3341466.46</v>
      </c>
      <c r="Z45" s="17">
        <v>0</v>
      </c>
      <c r="AA45" s="15">
        <f aca="true" t="shared" si="20" ref="AA45:AA50">+Y45+Z45</f>
        <v>3341466.46</v>
      </c>
      <c r="AB45" s="17">
        <v>0</v>
      </c>
      <c r="AC45" s="15">
        <f aca="true" t="shared" si="21" ref="AC45:AC50">+AA45+AB45</f>
        <v>3341466.46</v>
      </c>
      <c r="AD45" s="15"/>
      <c r="AH45" s="40"/>
      <c r="AJ45" s="40"/>
    </row>
    <row r="46" spans="1:36" ht="15">
      <c r="A46" s="29"/>
      <c r="B46" s="57">
        <v>1521</v>
      </c>
      <c r="C46" s="26" t="s">
        <v>112</v>
      </c>
      <c r="D46" s="93">
        <f>+PRESUPACUM!D46</f>
        <v>0</v>
      </c>
      <c r="E46" s="93">
        <f>+PRESUPACUM!E46</f>
        <v>0</v>
      </c>
      <c r="F46" s="17">
        <v>0</v>
      </c>
      <c r="G46" s="59">
        <f t="shared" si="10"/>
        <v>0</v>
      </c>
      <c r="H46" s="17">
        <v>0</v>
      </c>
      <c r="I46" s="15">
        <f t="shared" si="11"/>
        <v>0</v>
      </c>
      <c r="J46" s="17">
        <v>0</v>
      </c>
      <c r="K46" s="15">
        <f t="shared" si="12"/>
        <v>0</v>
      </c>
      <c r="L46" s="17">
        <v>0</v>
      </c>
      <c r="M46" s="15">
        <f t="shared" si="13"/>
        <v>0</v>
      </c>
      <c r="N46" s="17">
        <v>0</v>
      </c>
      <c r="O46" s="15">
        <f t="shared" si="14"/>
        <v>0</v>
      </c>
      <c r="P46" s="17">
        <v>0</v>
      </c>
      <c r="Q46" s="15">
        <f t="shared" si="15"/>
        <v>0</v>
      </c>
      <c r="R46" s="17">
        <v>0</v>
      </c>
      <c r="S46" s="15">
        <f t="shared" si="16"/>
        <v>0</v>
      </c>
      <c r="T46" s="17">
        <v>0</v>
      </c>
      <c r="U46" s="15">
        <f t="shared" si="17"/>
        <v>0</v>
      </c>
      <c r="V46" s="17">
        <v>0</v>
      </c>
      <c r="W46" s="15">
        <f t="shared" si="18"/>
        <v>0</v>
      </c>
      <c r="X46" s="17">
        <v>0</v>
      </c>
      <c r="Y46" s="15">
        <f t="shared" si="19"/>
        <v>0</v>
      </c>
      <c r="Z46" s="17">
        <v>0</v>
      </c>
      <c r="AA46" s="15">
        <f t="shared" si="20"/>
        <v>0</v>
      </c>
      <c r="AB46" s="17">
        <v>0</v>
      </c>
      <c r="AC46" s="15">
        <f t="shared" si="21"/>
        <v>0</v>
      </c>
      <c r="AD46" s="15"/>
      <c r="AH46" s="40"/>
      <c r="AJ46" s="40"/>
    </row>
    <row r="47" spans="1:36" ht="15">
      <c r="A47" s="29"/>
      <c r="B47" s="57">
        <v>1541</v>
      </c>
      <c r="C47" s="26" t="s">
        <v>113</v>
      </c>
      <c r="D47" s="93">
        <f>+PRESUPACUM!D47</f>
        <v>4176000</v>
      </c>
      <c r="E47" s="93">
        <f>+PRESUPACUM!E47</f>
        <v>4212000</v>
      </c>
      <c r="F47" s="17">
        <v>333750</v>
      </c>
      <c r="G47" s="59">
        <f t="shared" si="10"/>
        <v>333750</v>
      </c>
      <c r="H47" s="17">
        <v>338950</v>
      </c>
      <c r="I47" s="15">
        <f t="shared" si="11"/>
        <v>672700</v>
      </c>
      <c r="J47" s="17">
        <v>329900</v>
      </c>
      <c r="K47" s="15">
        <f t="shared" si="12"/>
        <v>1002600</v>
      </c>
      <c r="L47" s="17">
        <v>0</v>
      </c>
      <c r="M47" s="15">
        <f t="shared" si="13"/>
        <v>1002600</v>
      </c>
      <c r="N47" s="17">
        <v>0</v>
      </c>
      <c r="O47" s="15">
        <f t="shared" si="14"/>
        <v>1002600</v>
      </c>
      <c r="P47" s="17">
        <v>0</v>
      </c>
      <c r="Q47" s="15">
        <f t="shared" si="15"/>
        <v>1002600</v>
      </c>
      <c r="R47" s="17">
        <v>0</v>
      </c>
      <c r="S47" s="15">
        <f t="shared" si="16"/>
        <v>1002600</v>
      </c>
      <c r="T47" s="17">
        <v>0</v>
      </c>
      <c r="U47" s="15">
        <f t="shared" si="17"/>
        <v>1002600</v>
      </c>
      <c r="V47" s="17">
        <v>0</v>
      </c>
      <c r="W47" s="15">
        <f t="shared" si="18"/>
        <v>1002600</v>
      </c>
      <c r="X47" s="17">
        <v>0</v>
      </c>
      <c r="Y47" s="15">
        <f t="shared" si="19"/>
        <v>1002600</v>
      </c>
      <c r="Z47" s="17">
        <v>0</v>
      </c>
      <c r="AA47" s="15">
        <f t="shared" si="20"/>
        <v>1002600</v>
      </c>
      <c r="AB47" s="17">
        <v>0</v>
      </c>
      <c r="AC47" s="15">
        <f t="shared" si="21"/>
        <v>1002600</v>
      </c>
      <c r="AD47" s="15"/>
      <c r="AH47" s="40"/>
      <c r="AJ47" s="40"/>
    </row>
    <row r="48" spans="1:36" ht="15">
      <c r="A48" s="29"/>
      <c r="B48" s="57">
        <v>1542</v>
      </c>
      <c r="C48" s="26" t="s">
        <v>241</v>
      </c>
      <c r="D48" s="93">
        <f>+PRESUPACUM!D48</f>
        <v>0</v>
      </c>
      <c r="E48" s="93">
        <f>+PRESUPACUM!E48</f>
        <v>0</v>
      </c>
      <c r="F48" s="17">
        <v>0</v>
      </c>
      <c r="G48" s="59">
        <f t="shared" si="10"/>
        <v>0</v>
      </c>
      <c r="H48" s="17">
        <v>0</v>
      </c>
      <c r="I48" s="15">
        <f t="shared" si="11"/>
        <v>0</v>
      </c>
      <c r="J48" s="17">
        <v>0</v>
      </c>
      <c r="K48" s="15">
        <f t="shared" si="12"/>
        <v>0</v>
      </c>
      <c r="L48" s="17">
        <v>0</v>
      </c>
      <c r="M48" s="15">
        <f t="shared" si="13"/>
        <v>0</v>
      </c>
      <c r="N48" s="17">
        <v>0</v>
      </c>
      <c r="O48" s="15">
        <f t="shared" si="14"/>
        <v>0</v>
      </c>
      <c r="P48" s="17">
        <v>0</v>
      </c>
      <c r="Q48" s="15">
        <f t="shared" si="15"/>
        <v>0</v>
      </c>
      <c r="R48" s="17">
        <v>0</v>
      </c>
      <c r="S48" s="15">
        <f t="shared" si="16"/>
        <v>0</v>
      </c>
      <c r="T48" s="17">
        <v>0</v>
      </c>
      <c r="U48" s="15">
        <f t="shared" si="17"/>
        <v>0</v>
      </c>
      <c r="V48" s="17">
        <v>0</v>
      </c>
      <c r="W48" s="15">
        <f t="shared" si="18"/>
        <v>0</v>
      </c>
      <c r="X48" s="17">
        <v>0</v>
      </c>
      <c r="Y48" s="15">
        <f t="shared" si="19"/>
        <v>0</v>
      </c>
      <c r="Z48" s="17">
        <v>0</v>
      </c>
      <c r="AA48" s="15">
        <f t="shared" si="20"/>
        <v>0</v>
      </c>
      <c r="AB48" s="17">
        <v>0</v>
      </c>
      <c r="AC48" s="15">
        <f t="shared" si="21"/>
        <v>0</v>
      </c>
      <c r="AD48" s="15"/>
      <c r="AH48" s="40"/>
      <c r="AJ48" s="40"/>
    </row>
    <row r="49" spans="1:30" ht="15">
      <c r="A49" s="29"/>
      <c r="B49" s="57">
        <v>1544</v>
      </c>
      <c r="C49" s="14" t="s">
        <v>109</v>
      </c>
      <c r="D49" s="58">
        <f>+PRESUPACUM!D49</f>
        <v>3791896.920000001</v>
      </c>
      <c r="E49" s="58">
        <f>+PRESUPACUM!E49</f>
        <v>5065896.92</v>
      </c>
      <c r="F49" s="18">
        <v>713786.54</v>
      </c>
      <c r="G49" s="59">
        <f t="shared" si="10"/>
        <v>713786.54</v>
      </c>
      <c r="H49" s="18">
        <v>711721.92</v>
      </c>
      <c r="I49" s="15">
        <f t="shared" si="11"/>
        <v>1425508.46</v>
      </c>
      <c r="J49" s="18">
        <v>698344.94</v>
      </c>
      <c r="K49" s="15">
        <f t="shared" si="12"/>
        <v>2123853.4</v>
      </c>
      <c r="L49" s="18">
        <v>0</v>
      </c>
      <c r="M49" s="15">
        <f t="shared" si="13"/>
        <v>2123853.4</v>
      </c>
      <c r="N49" s="18">
        <v>0</v>
      </c>
      <c r="O49" s="15">
        <f t="shared" si="14"/>
        <v>2123853.4</v>
      </c>
      <c r="P49" s="18">
        <v>0</v>
      </c>
      <c r="Q49" s="15">
        <f t="shared" si="15"/>
        <v>2123853.4</v>
      </c>
      <c r="R49" s="18">
        <v>0</v>
      </c>
      <c r="S49" s="15">
        <f t="shared" si="16"/>
        <v>2123853.4</v>
      </c>
      <c r="T49" s="18">
        <v>0</v>
      </c>
      <c r="U49" s="15">
        <f t="shared" si="17"/>
        <v>2123853.4</v>
      </c>
      <c r="V49" s="18">
        <v>0</v>
      </c>
      <c r="W49" s="15">
        <f t="shared" si="18"/>
        <v>2123853.4</v>
      </c>
      <c r="X49" s="18">
        <v>0</v>
      </c>
      <c r="Y49" s="15">
        <f t="shared" si="19"/>
        <v>2123853.4</v>
      </c>
      <c r="Z49" s="18">
        <v>0</v>
      </c>
      <c r="AA49" s="15">
        <f t="shared" si="20"/>
        <v>2123853.4</v>
      </c>
      <c r="AB49" s="18">
        <v>0</v>
      </c>
      <c r="AC49" s="15">
        <f t="shared" si="21"/>
        <v>2123853.4</v>
      </c>
      <c r="AD49" s="15"/>
    </row>
    <row r="50" spans="1:30" ht="15">
      <c r="A50" s="29"/>
      <c r="B50" s="57">
        <v>1591</v>
      </c>
      <c r="C50" s="14" t="s">
        <v>110</v>
      </c>
      <c r="D50" s="58">
        <f>+PRESUPACUM!D50</f>
        <v>96557771.16000004</v>
      </c>
      <c r="E50" s="58">
        <f>+PRESUPACUM!E50</f>
        <v>94740997.19</v>
      </c>
      <c r="F50" s="18">
        <v>7181016.81</v>
      </c>
      <c r="G50" s="59">
        <f t="shared" si="10"/>
        <v>7181016.81</v>
      </c>
      <c r="H50" s="18">
        <v>7174477.62</v>
      </c>
      <c r="I50" s="15">
        <f t="shared" si="11"/>
        <v>14355494.43</v>
      </c>
      <c r="J50" s="18">
        <f>7005176.11-113275.35</f>
        <v>6891900.760000001</v>
      </c>
      <c r="K50" s="15">
        <f t="shared" si="12"/>
        <v>21247395.19</v>
      </c>
      <c r="L50" s="18">
        <v>0</v>
      </c>
      <c r="M50" s="15">
        <f t="shared" si="13"/>
        <v>21247395.19</v>
      </c>
      <c r="N50" s="18">
        <v>0</v>
      </c>
      <c r="O50" s="15">
        <f t="shared" si="14"/>
        <v>21247395.19</v>
      </c>
      <c r="P50" s="18">
        <v>0</v>
      </c>
      <c r="Q50" s="15">
        <f t="shared" si="15"/>
        <v>21247395.19</v>
      </c>
      <c r="R50" s="18">
        <v>0</v>
      </c>
      <c r="S50" s="15">
        <f t="shared" si="16"/>
        <v>21247395.19</v>
      </c>
      <c r="T50" s="18">
        <v>0</v>
      </c>
      <c r="U50" s="15">
        <f t="shared" si="17"/>
        <v>21247395.19</v>
      </c>
      <c r="V50" s="18">
        <v>0</v>
      </c>
      <c r="W50" s="15">
        <f t="shared" si="18"/>
        <v>21247395.19</v>
      </c>
      <c r="X50" s="18">
        <v>0</v>
      </c>
      <c r="Y50" s="15">
        <f t="shared" si="19"/>
        <v>21247395.19</v>
      </c>
      <c r="Z50" s="18">
        <v>0</v>
      </c>
      <c r="AA50" s="15">
        <f t="shared" si="20"/>
        <v>21247395.19</v>
      </c>
      <c r="AB50" s="18">
        <v>0</v>
      </c>
      <c r="AC50" s="15">
        <f t="shared" si="21"/>
        <v>21247395.19</v>
      </c>
      <c r="AD50" s="15"/>
    </row>
    <row r="51" spans="1:30" ht="15">
      <c r="A51" s="29"/>
      <c r="B51" s="57"/>
      <c r="C51" s="14"/>
      <c r="D51" s="58"/>
      <c r="E51" s="58"/>
      <c r="F51" s="18"/>
      <c r="G51" s="59"/>
      <c r="H51" s="18"/>
      <c r="I51" s="15"/>
      <c r="J51" s="18"/>
      <c r="K51" s="15"/>
      <c r="L51" s="18"/>
      <c r="M51" s="15"/>
      <c r="N51" s="18"/>
      <c r="O51" s="15"/>
      <c r="P51" s="18"/>
      <c r="Q51" s="15"/>
      <c r="R51" s="18"/>
      <c r="S51" s="15"/>
      <c r="T51" s="18"/>
      <c r="U51" s="15"/>
      <c r="V51" s="18"/>
      <c r="W51" s="15"/>
      <c r="X51" s="18"/>
      <c r="Y51" s="15"/>
      <c r="Z51" s="18"/>
      <c r="AA51" s="15"/>
      <c r="AB51" s="18"/>
      <c r="AC51" s="15"/>
      <c r="AD51" s="15"/>
    </row>
    <row r="52" spans="2:29" ht="15.75">
      <c r="B52" s="16"/>
      <c r="C52" s="25"/>
      <c r="D52" s="58"/>
      <c r="E52" s="58"/>
      <c r="F52" s="15"/>
      <c r="G52" s="20"/>
      <c r="H52" s="15"/>
      <c r="I52" s="20"/>
      <c r="J52" s="15"/>
      <c r="K52" s="20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</row>
    <row r="53" spans="2:29" ht="16.5" thickBot="1">
      <c r="B53" s="75">
        <v>2000</v>
      </c>
      <c r="C53" s="143" t="s">
        <v>40</v>
      </c>
      <c r="D53" s="62">
        <f>+D55+D63+D67+D78+D86+D89+D94</f>
        <v>5145578.69</v>
      </c>
      <c r="E53" s="62">
        <f aca="true" t="shared" si="22" ref="E53:AC53">+E55+E63+E67+E78+E86+E89+E94</f>
        <v>5174693.6899999995</v>
      </c>
      <c r="F53" s="62">
        <f t="shared" si="22"/>
        <v>16965.5</v>
      </c>
      <c r="G53" s="62">
        <f t="shared" si="22"/>
        <v>16965.5</v>
      </c>
      <c r="H53" s="62">
        <f>+H55+H63+H67+H78+H86+H89+H94</f>
        <v>27931.399999999998</v>
      </c>
      <c r="I53" s="62">
        <f t="shared" si="22"/>
        <v>44896.9</v>
      </c>
      <c r="J53" s="62">
        <f>+J55+J63+J67+J78+J86+J89+J94</f>
        <v>79499.42</v>
      </c>
      <c r="K53" s="62">
        <f t="shared" si="22"/>
        <v>124396.31999999999</v>
      </c>
      <c r="L53" s="62">
        <f t="shared" si="22"/>
        <v>0</v>
      </c>
      <c r="M53" s="62">
        <f t="shared" si="22"/>
        <v>124396.31999999999</v>
      </c>
      <c r="N53" s="62">
        <f>+N55+N63+N67+N78+N86+N89+N94</f>
        <v>0</v>
      </c>
      <c r="O53" s="62">
        <f t="shared" si="22"/>
        <v>124396.31999999999</v>
      </c>
      <c r="P53" s="62">
        <f>+P55+P63+P67+P78+P86+P89+P94</f>
        <v>0</v>
      </c>
      <c r="Q53" s="62">
        <f t="shared" si="22"/>
        <v>124396.31999999999</v>
      </c>
      <c r="R53" s="62">
        <f>+R55+R63+R67+R78+R86+R89+R94</f>
        <v>0</v>
      </c>
      <c r="S53" s="62">
        <f t="shared" si="22"/>
        <v>124396.31999999999</v>
      </c>
      <c r="T53" s="62">
        <f t="shared" si="22"/>
        <v>0</v>
      </c>
      <c r="U53" s="62">
        <f t="shared" si="22"/>
        <v>124396.31999999999</v>
      </c>
      <c r="V53" s="62">
        <f>+V55+V63+V67+V78+V86+V89+V94</f>
        <v>0</v>
      </c>
      <c r="W53" s="62">
        <f t="shared" si="22"/>
        <v>124396.31999999999</v>
      </c>
      <c r="X53" s="62">
        <f>+X55+X63+X67+X78+X86+X89+X94</f>
        <v>0</v>
      </c>
      <c r="Y53" s="62">
        <f t="shared" si="22"/>
        <v>124396.31999999999</v>
      </c>
      <c r="Z53" s="62">
        <f t="shared" si="22"/>
        <v>0</v>
      </c>
      <c r="AA53" s="62">
        <f t="shared" si="22"/>
        <v>124396.31999999999</v>
      </c>
      <c r="AB53" s="62">
        <f>+AB55+AB63+AB67+AB78+AB86+AB89+AB94</f>
        <v>0</v>
      </c>
      <c r="AC53" s="62">
        <f t="shared" si="22"/>
        <v>124396.31999999999</v>
      </c>
    </row>
    <row r="54" spans="2:29" ht="16.5" thickTop="1">
      <c r="B54" s="63"/>
      <c r="C54" s="25"/>
      <c r="D54" s="95"/>
      <c r="E54" s="95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</row>
    <row r="55" spans="2:29" ht="15.75">
      <c r="B55" s="69">
        <v>2100</v>
      </c>
      <c r="C55" s="67" t="s">
        <v>185</v>
      </c>
      <c r="D55" s="92">
        <f aca="true" t="shared" si="23" ref="D55:AA55">SUM(D56:D61)</f>
        <v>2363066.1300000004</v>
      </c>
      <c r="E55" s="92">
        <f t="shared" si="23"/>
        <v>2387752.94</v>
      </c>
      <c r="F55" s="70">
        <f t="shared" si="23"/>
        <v>6965.5</v>
      </c>
      <c r="G55" s="70">
        <f t="shared" si="23"/>
        <v>6965.5</v>
      </c>
      <c r="H55" s="70">
        <f>SUM(H56:H61)</f>
        <v>8537.11</v>
      </c>
      <c r="I55" s="70">
        <f t="shared" si="23"/>
        <v>15502.61</v>
      </c>
      <c r="J55" s="70">
        <f>SUM(J56:J61)</f>
        <v>37088.130000000005</v>
      </c>
      <c r="K55" s="70">
        <f t="shared" si="23"/>
        <v>52590.740000000005</v>
      </c>
      <c r="L55" s="70">
        <f t="shared" si="23"/>
        <v>0</v>
      </c>
      <c r="M55" s="70">
        <f t="shared" si="23"/>
        <v>52590.740000000005</v>
      </c>
      <c r="N55" s="70">
        <f>SUM(N56:N61)</f>
        <v>0</v>
      </c>
      <c r="O55" s="70">
        <f t="shared" si="23"/>
        <v>52590.740000000005</v>
      </c>
      <c r="P55" s="70">
        <f>SUM(P56:P61)</f>
        <v>0</v>
      </c>
      <c r="Q55" s="70">
        <f t="shared" si="23"/>
        <v>52590.740000000005</v>
      </c>
      <c r="R55" s="70">
        <f>SUM(R56:R61)</f>
        <v>0</v>
      </c>
      <c r="S55" s="70">
        <f t="shared" si="23"/>
        <v>52590.740000000005</v>
      </c>
      <c r="T55" s="70">
        <f t="shared" si="23"/>
        <v>0</v>
      </c>
      <c r="U55" s="70">
        <f t="shared" si="23"/>
        <v>52590.740000000005</v>
      </c>
      <c r="V55" s="70">
        <f>SUM(V56:V61)</f>
        <v>0</v>
      </c>
      <c r="W55" s="70">
        <f t="shared" si="23"/>
        <v>52590.740000000005</v>
      </c>
      <c r="X55" s="70">
        <f>SUM(X56:X61)</f>
        <v>0</v>
      </c>
      <c r="Y55" s="70">
        <f t="shared" si="23"/>
        <v>52590.740000000005</v>
      </c>
      <c r="Z55" s="70">
        <f t="shared" si="23"/>
        <v>0</v>
      </c>
      <c r="AA55" s="70">
        <f t="shared" si="23"/>
        <v>52590.740000000005</v>
      </c>
      <c r="AB55" s="70">
        <f>SUM(AB56:AB61)</f>
        <v>0</v>
      </c>
      <c r="AC55" s="70">
        <f>SUM(AC56:AC61)</f>
        <v>52590.740000000005</v>
      </c>
    </row>
    <row r="56" spans="2:29" ht="15">
      <c r="B56" s="57">
        <v>2111</v>
      </c>
      <c r="C56" s="14" t="s">
        <v>111</v>
      </c>
      <c r="D56" s="58">
        <f>+PRESUPACUM!D56</f>
        <v>1267868.59</v>
      </c>
      <c r="E56" s="58">
        <f>+PRESUPACUM!E56</f>
        <v>1271130.2500000002</v>
      </c>
      <c r="F56" s="18">
        <v>0</v>
      </c>
      <c r="G56" s="59">
        <f aca="true" t="shared" si="24" ref="G56:G61">+F56</f>
        <v>0</v>
      </c>
      <c r="H56" s="18">
        <v>1455.61</v>
      </c>
      <c r="I56" s="15">
        <f aca="true" t="shared" si="25" ref="I56:I61">+G56+H56</f>
        <v>1455.61</v>
      </c>
      <c r="J56" s="18">
        <v>4558.93</v>
      </c>
      <c r="K56" s="15">
        <f aca="true" t="shared" si="26" ref="K56:K61">+I56+J56</f>
        <v>6014.54</v>
      </c>
      <c r="L56" s="18">
        <v>0</v>
      </c>
      <c r="M56" s="15">
        <f aca="true" t="shared" si="27" ref="M56:M61">+K56+L56</f>
        <v>6014.54</v>
      </c>
      <c r="N56" s="18">
        <v>0</v>
      </c>
      <c r="O56" s="15">
        <f aca="true" t="shared" si="28" ref="O56:O61">+M56+N56</f>
        <v>6014.54</v>
      </c>
      <c r="P56" s="18">
        <v>0</v>
      </c>
      <c r="Q56" s="15">
        <f aca="true" t="shared" si="29" ref="Q56:Q61">+O56+P56</f>
        <v>6014.54</v>
      </c>
      <c r="R56" s="18">
        <v>0</v>
      </c>
      <c r="S56" s="15">
        <f aca="true" t="shared" si="30" ref="S56:S61">+Q56+R56</f>
        <v>6014.54</v>
      </c>
      <c r="T56" s="18">
        <v>0</v>
      </c>
      <c r="U56" s="15">
        <f aca="true" t="shared" si="31" ref="U56:U61">+S56+T56</f>
        <v>6014.54</v>
      </c>
      <c r="V56" s="18">
        <v>0</v>
      </c>
      <c r="W56" s="15">
        <f aca="true" t="shared" si="32" ref="W56:W61">+U56+V56</f>
        <v>6014.54</v>
      </c>
      <c r="X56" s="18">
        <v>0</v>
      </c>
      <c r="Y56" s="15">
        <f aca="true" t="shared" si="33" ref="Y56:Y61">+W56+X56</f>
        <v>6014.54</v>
      </c>
      <c r="Z56" s="18">
        <v>0</v>
      </c>
      <c r="AA56" s="15">
        <f aca="true" t="shared" si="34" ref="AA56:AA61">+Y56+Z56</f>
        <v>6014.54</v>
      </c>
      <c r="AB56" s="18">
        <v>0</v>
      </c>
      <c r="AC56" s="15">
        <f aca="true" t="shared" si="35" ref="AC56:AC61">+AA56+AB56</f>
        <v>6014.54</v>
      </c>
    </row>
    <row r="57" spans="2:29" ht="15">
      <c r="B57" s="57">
        <v>2121</v>
      </c>
      <c r="C57" s="14" t="s">
        <v>57</v>
      </c>
      <c r="D57" s="58">
        <f>+PRESUPACUM!D57</f>
        <v>0</v>
      </c>
      <c r="E57" s="58">
        <f>+PRESUPACUM!E57</f>
        <v>0</v>
      </c>
      <c r="F57" s="18">
        <v>0</v>
      </c>
      <c r="G57" s="59">
        <f t="shared" si="24"/>
        <v>0</v>
      </c>
      <c r="H57" s="18">
        <v>0</v>
      </c>
      <c r="I57" s="15">
        <f t="shared" si="25"/>
        <v>0</v>
      </c>
      <c r="J57" s="18">
        <v>0</v>
      </c>
      <c r="K57" s="15">
        <f t="shared" si="26"/>
        <v>0</v>
      </c>
      <c r="L57" s="18">
        <v>0</v>
      </c>
      <c r="M57" s="15">
        <f t="shared" si="27"/>
        <v>0</v>
      </c>
      <c r="N57" s="18">
        <v>0</v>
      </c>
      <c r="O57" s="15">
        <f t="shared" si="28"/>
        <v>0</v>
      </c>
      <c r="P57" s="18">
        <v>0</v>
      </c>
      <c r="Q57" s="15">
        <f t="shared" si="29"/>
        <v>0</v>
      </c>
      <c r="R57" s="18">
        <v>0</v>
      </c>
      <c r="S57" s="15">
        <f t="shared" si="30"/>
        <v>0</v>
      </c>
      <c r="T57" s="18">
        <v>0</v>
      </c>
      <c r="U57" s="15">
        <f t="shared" si="31"/>
        <v>0</v>
      </c>
      <c r="V57" s="18">
        <v>0</v>
      </c>
      <c r="W57" s="15">
        <f t="shared" si="32"/>
        <v>0</v>
      </c>
      <c r="X57" s="18">
        <v>0</v>
      </c>
      <c r="Y57" s="15">
        <f t="shared" si="33"/>
        <v>0</v>
      </c>
      <c r="Z57" s="18">
        <v>0</v>
      </c>
      <c r="AA57" s="15">
        <f t="shared" si="34"/>
        <v>0</v>
      </c>
      <c r="AB57" s="18">
        <v>0</v>
      </c>
      <c r="AC57" s="15">
        <f t="shared" si="35"/>
        <v>0</v>
      </c>
    </row>
    <row r="58" spans="2:29" ht="15">
      <c r="B58" s="57">
        <v>2141</v>
      </c>
      <c r="C58" s="14" t="s">
        <v>114</v>
      </c>
      <c r="D58" s="58">
        <f>+PRESUPACUM!D58</f>
        <v>909438.5000000001</v>
      </c>
      <c r="E58" s="58">
        <f>+PRESUPACUM!E58</f>
        <v>925438.5</v>
      </c>
      <c r="F58" s="18">
        <v>0</v>
      </c>
      <c r="G58" s="59">
        <f t="shared" si="24"/>
        <v>0</v>
      </c>
      <c r="H58" s="18">
        <v>0</v>
      </c>
      <c r="I58" s="15">
        <f t="shared" si="25"/>
        <v>0</v>
      </c>
      <c r="J58" s="18">
        <v>14756.36</v>
      </c>
      <c r="K58" s="15">
        <f t="shared" si="26"/>
        <v>14756.36</v>
      </c>
      <c r="L58" s="18">
        <v>0</v>
      </c>
      <c r="M58" s="15">
        <f t="shared" si="27"/>
        <v>14756.36</v>
      </c>
      <c r="N58" s="18">
        <v>0</v>
      </c>
      <c r="O58" s="15">
        <f t="shared" si="28"/>
        <v>14756.36</v>
      </c>
      <c r="P58" s="18">
        <v>0</v>
      </c>
      <c r="Q58" s="15">
        <f t="shared" si="29"/>
        <v>14756.36</v>
      </c>
      <c r="R58" s="18">
        <v>0</v>
      </c>
      <c r="S58" s="15">
        <f t="shared" si="30"/>
        <v>14756.36</v>
      </c>
      <c r="T58" s="18">
        <v>0</v>
      </c>
      <c r="U58" s="15">
        <f t="shared" si="31"/>
        <v>14756.36</v>
      </c>
      <c r="V58" s="18">
        <v>0</v>
      </c>
      <c r="W58" s="15">
        <f t="shared" si="32"/>
        <v>14756.36</v>
      </c>
      <c r="X58" s="18">
        <v>0</v>
      </c>
      <c r="Y58" s="15">
        <f t="shared" si="33"/>
        <v>14756.36</v>
      </c>
      <c r="Z58" s="18">
        <v>0</v>
      </c>
      <c r="AA58" s="15">
        <f t="shared" si="34"/>
        <v>14756.36</v>
      </c>
      <c r="AB58" s="18">
        <v>0</v>
      </c>
      <c r="AC58" s="15">
        <f t="shared" si="35"/>
        <v>14756.36</v>
      </c>
    </row>
    <row r="59" spans="2:29" ht="15">
      <c r="B59" s="57">
        <v>2151</v>
      </c>
      <c r="C59" s="14" t="s">
        <v>116</v>
      </c>
      <c r="D59" s="58">
        <f>+PRESUPACUM!D59</f>
        <v>185759.04</v>
      </c>
      <c r="E59" s="58">
        <f>+PRESUPACUM!E59</f>
        <v>186239.04</v>
      </c>
      <c r="F59" s="18">
        <v>6965.5</v>
      </c>
      <c r="G59" s="59">
        <f t="shared" si="24"/>
        <v>6965.5</v>
      </c>
      <c r="H59" s="18">
        <v>6965.5</v>
      </c>
      <c r="I59" s="15">
        <f t="shared" si="25"/>
        <v>13931</v>
      </c>
      <c r="J59" s="18">
        <v>13543.5</v>
      </c>
      <c r="K59" s="15">
        <f t="shared" si="26"/>
        <v>27474.5</v>
      </c>
      <c r="L59" s="18">
        <v>0</v>
      </c>
      <c r="M59" s="15">
        <f t="shared" si="27"/>
        <v>27474.5</v>
      </c>
      <c r="N59" s="18">
        <v>0</v>
      </c>
      <c r="O59" s="15">
        <f t="shared" si="28"/>
        <v>27474.5</v>
      </c>
      <c r="P59" s="18">
        <v>0</v>
      </c>
      <c r="Q59" s="15">
        <f t="shared" si="29"/>
        <v>27474.5</v>
      </c>
      <c r="R59" s="18">
        <v>0</v>
      </c>
      <c r="S59" s="15">
        <f t="shared" si="30"/>
        <v>27474.5</v>
      </c>
      <c r="T59" s="18">
        <v>0</v>
      </c>
      <c r="U59" s="15">
        <f t="shared" si="31"/>
        <v>27474.5</v>
      </c>
      <c r="V59" s="18">
        <v>0</v>
      </c>
      <c r="W59" s="15">
        <f t="shared" si="32"/>
        <v>27474.5</v>
      </c>
      <c r="X59" s="18">
        <v>0</v>
      </c>
      <c r="Y59" s="15">
        <f t="shared" si="33"/>
        <v>27474.5</v>
      </c>
      <c r="Z59" s="18">
        <v>0</v>
      </c>
      <c r="AA59" s="15">
        <f t="shared" si="34"/>
        <v>27474.5</v>
      </c>
      <c r="AB59" s="18">
        <v>0</v>
      </c>
      <c r="AC59" s="15">
        <f t="shared" si="35"/>
        <v>27474.5</v>
      </c>
    </row>
    <row r="60" spans="2:29" ht="15">
      <c r="B60" s="57">
        <v>2161</v>
      </c>
      <c r="C60" s="14" t="s">
        <v>45</v>
      </c>
      <c r="D60" s="58">
        <f>+PRESUPACUM!D60</f>
        <v>0</v>
      </c>
      <c r="E60" s="58">
        <f>+PRESUPACUM!E60</f>
        <v>4945.15</v>
      </c>
      <c r="F60" s="18">
        <v>0</v>
      </c>
      <c r="G60" s="59">
        <f t="shared" si="24"/>
        <v>0</v>
      </c>
      <c r="H60" s="18">
        <v>116</v>
      </c>
      <c r="I60" s="15">
        <f t="shared" si="25"/>
        <v>116</v>
      </c>
      <c r="J60" s="18">
        <v>4229.34</v>
      </c>
      <c r="K60" s="15">
        <f t="shared" si="26"/>
        <v>4345.34</v>
      </c>
      <c r="L60" s="18">
        <v>0</v>
      </c>
      <c r="M60" s="15">
        <f t="shared" si="27"/>
        <v>4345.34</v>
      </c>
      <c r="N60" s="18">
        <v>0</v>
      </c>
      <c r="O60" s="15">
        <f t="shared" si="28"/>
        <v>4345.34</v>
      </c>
      <c r="P60" s="18">
        <v>0</v>
      </c>
      <c r="Q60" s="15">
        <f t="shared" si="29"/>
        <v>4345.34</v>
      </c>
      <c r="R60" s="18">
        <v>0</v>
      </c>
      <c r="S60" s="15">
        <f t="shared" si="30"/>
        <v>4345.34</v>
      </c>
      <c r="T60" s="18">
        <v>0</v>
      </c>
      <c r="U60" s="15">
        <f t="shared" si="31"/>
        <v>4345.34</v>
      </c>
      <c r="V60" s="18">
        <v>0</v>
      </c>
      <c r="W60" s="15">
        <f t="shared" si="32"/>
        <v>4345.34</v>
      </c>
      <c r="X60" s="18">
        <v>0</v>
      </c>
      <c r="Y60" s="15">
        <f t="shared" si="33"/>
        <v>4345.34</v>
      </c>
      <c r="Z60" s="18">
        <v>0</v>
      </c>
      <c r="AA60" s="15">
        <f t="shared" si="34"/>
        <v>4345.34</v>
      </c>
      <c r="AB60" s="18">
        <v>0</v>
      </c>
      <c r="AC60" s="15">
        <f t="shared" si="35"/>
        <v>4345.34</v>
      </c>
    </row>
    <row r="61" spans="2:29" ht="15">
      <c r="B61" s="57">
        <v>2171</v>
      </c>
      <c r="C61" s="14" t="s">
        <v>115</v>
      </c>
      <c r="D61" s="58">
        <f>+PRESUPACUM!D61</f>
        <v>0</v>
      </c>
      <c r="E61" s="58">
        <f>+PRESUPACUM!E61</f>
        <v>0</v>
      </c>
      <c r="F61" s="18">
        <v>0</v>
      </c>
      <c r="G61" s="59">
        <f t="shared" si="24"/>
        <v>0</v>
      </c>
      <c r="H61" s="18">
        <v>0</v>
      </c>
      <c r="I61" s="15">
        <f t="shared" si="25"/>
        <v>0</v>
      </c>
      <c r="J61" s="18">
        <v>0</v>
      </c>
      <c r="K61" s="15">
        <f t="shared" si="26"/>
        <v>0</v>
      </c>
      <c r="L61" s="18">
        <v>0</v>
      </c>
      <c r="M61" s="15">
        <f t="shared" si="27"/>
        <v>0</v>
      </c>
      <c r="N61" s="18">
        <v>0</v>
      </c>
      <c r="O61" s="15">
        <f t="shared" si="28"/>
        <v>0</v>
      </c>
      <c r="P61" s="18">
        <v>0</v>
      </c>
      <c r="Q61" s="15">
        <f t="shared" si="29"/>
        <v>0</v>
      </c>
      <c r="R61" s="18">
        <v>0</v>
      </c>
      <c r="S61" s="15">
        <f t="shared" si="30"/>
        <v>0</v>
      </c>
      <c r="T61" s="18">
        <v>0</v>
      </c>
      <c r="U61" s="15">
        <f t="shared" si="31"/>
        <v>0</v>
      </c>
      <c r="V61" s="18">
        <v>0</v>
      </c>
      <c r="W61" s="15">
        <f t="shared" si="32"/>
        <v>0</v>
      </c>
      <c r="X61" s="18">
        <v>0</v>
      </c>
      <c r="Y61" s="15">
        <f t="shared" si="33"/>
        <v>0</v>
      </c>
      <c r="Z61" s="18">
        <v>0</v>
      </c>
      <c r="AA61" s="15">
        <f t="shared" si="34"/>
        <v>0</v>
      </c>
      <c r="AB61" s="18">
        <v>0</v>
      </c>
      <c r="AC61" s="15">
        <f t="shared" si="35"/>
        <v>0</v>
      </c>
    </row>
    <row r="62" spans="2:29" ht="15">
      <c r="B62" s="66"/>
      <c r="C62" s="14"/>
      <c r="D62" s="58"/>
      <c r="E62" s="58"/>
      <c r="F62" s="15"/>
      <c r="G62" s="76"/>
      <c r="H62" s="15"/>
      <c r="I62" s="76"/>
      <c r="J62" s="15"/>
      <c r="K62" s="59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</row>
    <row r="63" spans="2:29" ht="15.75">
      <c r="B63" s="69">
        <v>2200</v>
      </c>
      <c r="C63" s="77" t="s">
        <v>46</v>
      </c>
      <c r="D63" s="92">
        <f aca="true" t="shared" si="36" ref="D63:O63">SUM(D64:D65)</f>
        <v>360000</v>
      </c>
      <c r="E63" s="92">
        <f>SUM(E64:E65)</f>
        <v>345327.13999999996</v>
      </c>
      <c r="F63" s="70">
        <f t="shared" si="36"/>
        <v>10000</v>
      </c>
      <c r="G63" s="70">
        <f t="shared" si="36"/>
        <v>10000</v>
      </c>
      <c r="H63" s="70">
        <f>SUM(H64:H65)</f>
        <v>18665.89</v>
      </c>
      <c r="I63" s="70">
        <f t="shared" si="36"/>
        <v>28665.89</v>
      </c>
      <c r="J63" s="70">
        <f>SUM(J64:J65)</f>
        <v>20075.47</v>
      </c>
      <c r="K63" s="70">
        <f t="shared" si="36"/>
        <v>48741.36</v>
      </c>
      <c r="L63" s="70">
        <f t="shared" si="36"/>
        <v>0</v>
      </c>
      <c r="M63" s="70">
        <f t="shared" si="36"/>
        <v>48741.36</v>
      </c>
      <c r="N63" s="70">
        <f>SUM(N64:N65)</f>
        <v>0</v>
      </c>
      <c r="O63" s="70">
        <f t="shared" si="36"/>
        <v>48741.36</v>
      </c>
      <c r="P63" s="70">
        <f>SUM(P64:P65)</f>
        <v>0</v>
      </c>
      <c r="Q63" s="70">
        <f aca="true" t="shared" si="37" ref="Q63:Z63">SUM(Q64:Q65)</f>
        <v>48741.36</v>
      </c>
      <c r="R63" s="70">
        <f>SUM(R64:R65)</f>
        <v>0</v>
      </c>
      <c r="S63" s="70">
        <f t="shared" si="37"/>
        <v>48741.36</v>
      </c>
      <c r="T63" s="70">
        <f t="shared" si="37"/>
        <v>0</v>
      </c>
      <c r="U63" s="70">
        <f t="shared" si="37"/>
        <v>48741.36</v>
      </c>
      <c r="V63" s="70">
        <f>SUM(V64:V65)</f>
        <v>0</v>
      </c>
      <c r="W63" s="70">
        <f t="shared" si="37"/>
        <v>48741.36</v>
      </c>
      <c r="X63" s="70">
        <f>SUM(X64:X65)</f>
        <v>0</v>
      </c>
      <c r="Y63" s="70">
        <f t="shared" si="37"/>
        <v>48741.36</v>
      </c>
      <c r="Z63" s="70">
        <f t="shared" si="37"/>
        <v>0</v>
      </c>
      <c r="AA63" s="70">
        <f>SUM(AA64:AA65)</f>
        <v>48741.36</v>
      </c>
      <c r="AB63" s="70">
        <f>SUM(AB64:AB65)</f>
        <v>0</v>
      </c>
      <c r="AC63" s="70">
        <f>SUM(AC64:AC65)</f>
        <v>48741.36</v>
      </c>
    </row>
    <row r="64" spans="2:29" ht="15">
      <c r="B64" s="57">
        <v>2211</v>
      </c>
      <c r="C64" s="14" t="s">
        <v>117</v>
      </c>
      <c r="D64" s="94">
        <f>+PRESUPACUM!D64</f>
        <v>360000</v>
      </c>
      <c r="E64" s="94">
        <f>+PRESUPACUM!E64</f>
        <v>345327.13999999996</v>
      </c>
      <c r="F64" s="72">
        <v>10000</v>
      </c>
      <c r="G64" s="59">
        <f>+F64</f>
        <v>10000</v>
      </c>
      <c r="H64" s="72">
        <v>18665.89</v>
      </c>
      <c r="I64" s="15">
        <f>+G64+H64</f>
        <v>28665.89</v>
      </c>
      <c r="J64" s="72">
        <v>20075.47</v>
      </c>
      <c r="K64" s="15">
        <f>+I64+J64</f>
        <v>48741.36</v>
      </c>
      <c r="L64" s="72">
        <v>0</v>
      </c>
      <c r="M64" s="15">
        <f>+K64+L64</f>
        <v>48741.36</v>
      </c>
      <c r="N64" s="72">
        <v>0</v>
      </c>
      <c r="O64" s="15">
        <f>+M64+N64</f>
        <v>48741.36</v>
      </c>
      <c r="P64" s="72">
        <v>0</v>
      </c>
      <c r="Q64" s="15">
        <f>+O64+P64</f>
        <v>48741.36</v>
      </c>
      <c r="R64" s="72">
        <v>0</v>
      </c>
      <c r="S64" s="15">
        <f>+Q64+R64</f>
        <v>48741.36</v>
      </c>
      <c r="T64" s="72">
        <v>0</v>
      </c>
      <c r="U64" s="15">
        <f>+S64+T64</f>
        <v>48741.36</v>
      </c>
      <c r="V64" s="72">
        <v>0</v>
      </c>
      <c r="W64" s="15">
        <f>+U64+V64</f>
        <v>48741.36</v>
      </c>
      <c r="X64" s="72">
        <v>0</v>
      </c>
      <c r="Y64" s="15">
        <f>+W64+X64</f>
        <v>48741.36</v>
      </c>
      <c r="Z64" s="72">
        <v>0</v>
      </c>
      <c r="AA64" s="15">
        <f>+Y64+Z64</f>
        <v>48741.36</v>
      </c>
      <c r="AB64" s="72">
        <v>0</v>
      </c>
      <c r="AC64" s="15">
        <f>+AA64+AB64</f>
        <v>48741.36</v>
      </c>
    </row>
    <row r="65" spans="2:29" ht="15">
      <c r="B65" s="57">
        <v>2231</v>
      </c>
      <c r="C65" s="14" t="s">
        <v>8</v>
      </c>
      <c r="D65" s="58">
        <f>+PRESUPACUM!D65</f>
        <v>0</v>
      </c>
      <c r="E65" s="58">
        <f>+PRESUPACUM!E65</f>
        <v>0</v>
      </c>
      <c r="F65" s="18">
        <v>0</v>
      </c>
      <c r="G65" s="59">
        <f>+F65</f>
        <v>0</v>
      </c>
      <c r="H65" s="18">
        <v>0</v>
      </c>
      <c r="I65" s="15">
        <f>+G65+H65</f>
        <v>0</v>
      </c>
      <c r="J65" s="18">
        <v>0</v>
      </c>
      <c r="K65" s="15">
        <f>+I65+J65</f>
        <v>0</v>
      </c>
      <c r="L65" s="18">
        <v>0</v>
      </c>
      <c r="M65" s="15">
        <f>+K65+L65</f>
        <v>0</v>
      </c>
      <c r="N65" s="18">
        <v>0</v>
      </c>
      <c r="O65" s="15">
        <f>+M65+N65</f>
        <v>0</v>
      </c>
      <c r="P65" s="18">
        <v>0</v>
      </c>
      <c r="Q65" s="15">
        <f>+O65+P65</f>
        <v>0</v>
      </c>
      <c r="R65" s="18">
        <v>0</v>
      </c>
      <c r="S65" s="15">
        <f>+Q65+R65</f>
        <v>0</v>
      </c>
      <c r="T65" s="18">
        <v>0</v>
      </c>
      <c r="U65" s="15">
        <f>+S65+T65</f>
        <v>0</v>
      </c>
      <c r="V65" s="18">
        <v>0</v>
      </c>
      <c r="W65" s="15">
        <f>+U65+V65</f>
        <v>0</v>
      </c>
      <c r="X65" s="18">
        <v>0</v>
      </c>
      <c r="Y65" s="15">
        <f>+W65+X65</f>
        <v>0</v>
      </c>
      <c r="Z65" s="18">
        <v>0</v>
      </c>
      <c r="AA65" s="15">
        <f>+Y65+Z65</f>
        <v>0</v>
      </c>
      <c r="AB65" s="18">
        <v>0</v>
      </c>
      <c r="AC65" s="15">
        <f>+AA65+AB65</f>
        <v>0</v>
      </c>
    </row>
    <row r="66" spans="2:29" ht="15">
      <c r="B66" s="66"/>
      <c r="C66" s="14"/>
      <c r="D66" s="58"/>
      <c r="E66" s="58"/>
      <c r="F66" s="15"/>
      <c r="G66" s="59"/>
      <c r="H66" s="15"/>
      <c r="I66" s="59"/>
      <c r="J66" s="15"/>
      <c r="K66" s="59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</row>
    <row r="67" spans="2:29" ht="15.75">
      <c r="B67" s="69">
        <v>2400</v>
      </c>
      <c r="C67" s="67" t="s">
        <v>186</v>
      </c>
      <c r="D67" s="92">
        <f>SUM(D68:D76)</f>
        <v>1689826</v>
      </c>
      <c r="E67" s="92">
        <f>SUM(E68:E76)</f>
        <v>1712497.0400000003</v>
      </c>
      <c r="F67" s="92">
        <f aca="true" t="shared" si="38" ref="F67:AC67">SUM(F68:F76)</f>
        <v>0</v>
      </c>
      <c r="G67" s="92">
        <f t="shared" si="38"/>
        <v>0</v>
      </c>
      <c r="H67" s="92">
        <f>SUM(H68:H76)</f>
        <v>450.39</v>
      </c>
      <c r="I67" s="92">
        <f t="shared" si="38"/>
        <v>450.39</v>
      </c>
      <c r="J67" s="92">
        <f>SUM(J68:J76)</f>
        <v>22183.819999999996</v>
      </c>
      <c r="K67" s="92">
        <f t="shared" si="38"/>
        <v>22634.209999999995</v>
      </c>
      <c r="L67" s="92">
        <f t="shared" si="38"/>
        <v>0</v>
      </c>
      <c r="M67" s="92">
        <f t="shared" si="38"/>
        <v>22634.209999999995</v>
      </c>
      <c r="N67" s="92">
        <f>SUM(N68:N76)</f>
        <v>0</v>
      </c>
      <c r="O67" s="92">
        <f t="shared" si="38"/>
        <v>22634.209999999995</v>
      </c>
      <c r="P67" s="92">
        <f>SUM(P68:P76)</f>
        <v>0</v>
      </c>
      <c r="Q67" s="92">
        <f t="shared" si="38"/>
        <v>22634.209999999995</v>
      </c>
      <c r="R67" s="92">
        <f>SUM(R68:R76)</f>
        <v>0</v>
      </c>
      <c r="S67" s="92">
        <f t="shared" si="38"/>
        <v>22634.209999999995</v>
      </c>
      <c r="T67" s="92">
        <f t="shared" si="38"/>
        <v>0</v>
      </c>
      <c r="U67" s="92">
        <f t="shared" si="38"/>
        <v>22634.209999999995</v>
      </c>
      <c r="V67" s="92">
        <f>SUM(V68:V76)</f>
        <v>0</v>
      </c>
      <c r="W67" s="92">
        <f t="shared" si="38"/>
        <v>22634.209999999995</v>
      </c>
      <c r="X67" s="92">
        <f>SUM(X68:X76)</f>
        <v>0</v>
      </c>
      <c r="Y67" s="92">
        <f t="shared" si="38"/>
        <v>22634.209999999995</v>
      </c>
      <c r="Z67" s="92">
        <f t="shared" si="38"/>
        <v>0</v>
      </c>
      <c r="AA67" s="92">
        <f t="shared" si="38"/>
        <v>22634.209999999995</v>
      </c>
      <c r="AB67" s="92">
        <f>SUM(AB68:AB76)</f>
        <v>0</v>
      </c>
      <c r="AC67" s="92">
        <f t="shared" si="38"/>
        <v>22634.209999999995</v>
      </c>
    </row>
    <row r="68" spans="2:29" ht="15">
      <c r="B68" s="57">
        <v>2419</v>
      </c>
      <c r="C68" s="14" t="s">
        <v>118</v>
      </c>
      <c r="D68" s="94">
        <f>+PRESUPACUM!D68</f>
        <v>0</v>
      </c>
      <c r="E68" s="94">
        <f>+PRESUPACUM!E68</f>
        <v>0</v>
      </c>
      <c r="F68" s="72">
        <v>0</v>
      </c>
      <c r="G68" s="59">
        <f aca="true" t="shared" si="39" ref="G68:G76">+F68</f>
        <v>0</v>
      </c>
      <c r="H68" s="72">
        <v>0</v>
      </c>
      <c r="I68" s="15">
        <f aca="true" t="shared" si="40" ref="I68:I76">+G68+H68</f>
        <v>0</v>
      </c>
      <c r="J68" s="72">
        <v>0</v>
      </c>
      <c r="K68" s="15">
        <f aca="true" t="shared" si="41" ref="K68:K76">+I68+J68</f>
        <v>0</v>
      </c>
      <c r="L68" s="72">
        <v>0</v>
      </c>
      <c r="M68" s="15">
        <f aca="true" t="shared" si="42" ref="M68:M76">+K68+L68</f>
        <v>0</v>
      </c>
      <c r="N68" s="72">
        <v>0</v>
      </c>
      <c r="O68" s="15">
        <f aca="true" t="shared" si="43" ref="O68:O76">+M68+N68</f>
        <v>0</v>
      </c>
      <c r="P68" s="72">
        <v>0</v>
      </c>
      <c r="Q68" s="15">
        <f aca="true" t="shared" si="44" ref="Q68:Q76">+O68+P68</f>
        <v>0</v>
      </c>
      <c r="R68" s="72">
        <v>0</v>
      </c>
      <c r="S68" s="15">
        <f aca="true" t="shared" si="45" ref="S68:S76">+Q68+R68</f>
        <v>0</v>
      </c>
      <c r="T68" s="72">
        <v>0</v>
      </c>
      <c r="U68" s="15">
        <f aca="true" t="shared" si="46" ref="U68:U76">+S68+T68</f>
        <v>0</v>
      </c>
      <c r="V68" s="72">
        <v>0</v>
      </c>
      <c r="W68" s="15">
        <f aca="true" t="shared" si="47" ref="W68:W76">+U68+V68</f>
        <v>0</v>
      </c>
      <c r="X68" s="72">
        <v>0</v>
      </c>
      <c r="Y68" s="15">
        <f aca="true" t="shared" si="48" ref="Y68:Y76">+W68+X68</f>
        <v>0</v>
      </c>
      <c r="Z68" s="72">
        <v>0</v>
      </c>
      <c r="AA68" s="15">
        <f aca="true" t="shared" si="49" ref="AA68:AA76">+Y68+Z68</f>
        <v>0</v>
      </c>
      <c r="AB68" s="72">
        <v>0</v>
      </c>
      <c r="AC68" s="15">
        <f aca="true" t="shared" si="50" ref="AC68:AC76">+AA68+AB68</f>
        <v>0</v>
      </c>
    </row>
    <row r="69" spans="2:29" ht="15">
      <c r="B69" s="57">
        <v>2421</v>
      </c>
      <c r="C69" s="14" t="s">
        <v>119</v>
      </c>
      <c r="D69" s="58">
        <f>+PRESUPACUM!D69</f>
        <v>0</v>
      </c>
      <c r="E69" s="58">
        <f>+PRESUPACUM!E69</f>
        <v>0</v>
      </c>
      <c r="F69" s="18">
        <v>0</v>
      </c>
      <c r="G69" s="59">
        <f t="shared" si="39"/>
        <v>0</v>
      </c>
      <c r="H69" s="18">
        <v>0</v>
      </c>
      <c r="I69" s="15">
        <f t="shared" si="40"/>
        <v>0</v>
      </c>
      <c r="J69" s="18">
        <v>0</v>
      </c>
      <c r="K69" s="15">
        <f t="shared" si="41"/>
        <v>0</v>
      </c>
      <c r="L69" s="18">
        <v>0</v>
      </c>
      <c r="M69" s="15">
        <f t="shared" si="42"/>
        <v>0</v>
      </c>
      <c r="N69" s="18">
        <v>0</v>
      </c>
      <c r="O69" s="15">
        <f t="shared" si="43"/>
        <v>0</v>
      </c>
      <c r="P69" s="18">
        <v>0</v>
      </c>
      <c r="Q69" s="15">
        <f t="shared" si="44"/>
        <v>0</v>
      </c>
      <c r="R69" s="18">
        <v>0</v>
      </c>
      <c r="S69" s="15">
        <f t="shared" si="45"/>
        <v>0</v>
      </c>
      <c r="T69" s="18">
        <v>0</v>
      </c>
      <c r="U69" s="15">
        <f t="shared" si="46"/>
        <v>0</v>
      </c>
      <c r="V69" s="18">
        <v>0</v>
      </c>
      <c r="W69" s="15">
        <f t="shared" si="47"/>
        <v>0</v>
      </c>
      <c r="X69" s="18">
        <v>0</v>
      </c>
      <c r="Y69" s="15">
        <f t="shared" si="48"/>
        <v>0</v>
      </c>
      <c r="Z69" s="18">
        <v>0</v>
      </c>
      <c r="AA69" s="15">
        <f t="shared" si="49"/>
        <v>0</v>
      </c>
      <c r="AB69" s="18">
        <v>0</v>
      </c>
      <c r="AC69" s="15">
        <f t="shared" si="50"/>
        <v>0</v>
      </c>
    </row>
    <row r="70" spans="2:29" ht="15">
      <c r="B70" s="57">
        <v>2431</v>
      </c>
      <c r="C70" s="14" t="s">
        <v>120</v>
      </c>
      <c r="D70" s="58">
        <f>+PRESUPACUM!D70</f>
        <v>0</v>
      </c>
      <c r="E70" s="58">
        <f>+PRESUPACUM!E70</f>
        <v>0</v>
      </c>
      <c r="F70" s="18">
        <v>0</v>
      </c>
      <c r="G70" s="59">
        <f t="shared" si="39"/>
        <v>0</v>
      </c>
      <c r="H70" s="18">
        <v>0</v>
      </c>
      <c r="I70" s="15">
        <f t="shared" si="40"/>
        <v>0</v>
      </c>
      <c r="J70" s="18">
        <v>0</v>
      </c>
      <c r="K70" s="15">
        <f t="shared" si="41"/>
        <v>0</v>
      </c>
      <c r="L70" s="18">
        <v>0</v>
      </c>
      <c r="M70" s="15">
        <f t="shared" si="42"/>
        <v>0</v>
      </c>
      <c r="N70" s="18">
        <v>0</v>
      </c>
      <c r="O70" s="15">
        <f t="shared" si="43"/>
        <v>0</v>
      </c>
      <c r="P70" s="18">
        <v>0</v>
      </c>
      <c r="Q70" s="15">
        <f t="shared" si="44"/>
        <v>0</v>
      </c>
      <c r="R70" s="18">
        <v>0</v>
      </c>
      <c r="S70" s="15">
        <f t="shared" si="45"/>
        <v>0</v>
      </c>
      <c r="T70" s="18">
        <v>0</v>
      </c>
      <c r="U70" s="15">
        <f t="shared" si="46"/>
        <v>0</v>
      </c>
      <c r="V70" s="18">
        <v>0</v>
      </c>
      <c r="W70" s="15">
        <f t="shared" si="47"/>
        <v>0</v>
      </c>
      <c r="X70" s="18">
        <v>0</v>
      </c>
      <c r="Y70" s="15">
        <f t="shared" si="48"/>
        <v>0</v>
      </c>
      <c r="Z70" s="18">
        <v>0</v>
      </c>
      <c r="AA70" s="15">
        <f t="shared" si="49"/>
        <v>0</v>
      </c>
      <c r="AB70" s="18">
        <v>0</v>
      </c>
      <c r="AC70" s="15">
        <f t="shared" si="50"/>
        <v>0</v>
      </c>
    </row>
    <row r="71" spans="2:29" ht="15">
      <c r="B71" s="57">
        <v>2441</v>
      </c>
      <c r="C71" s="14" t="s">
        <v>121</v>
      </c>
      <c r="D71" s="58">
        <f>+PRESUPACUM!D71</f>
        <v>0</v>
      </c>
      <c r="E71" s="58">
        <f>+PRESUPACUM!E71</f>
        <v>0</v>
      </c>
      <c r="F71" s="18">
        <v>0</v>
      </c>
      <c r="G71" s="59">
        <f t="shared" si="39"/>
        <v>0</v>
      </c>
      <c r="H71" s="18">
        <v>0</v>
      </c>
      <c r="I71" s="15">
        <f t="shared" si="40"/>
        <v>0</v>
      </c>
      <c r="J71" s="18">
        <v>0</v>
      </c>
      <c r="K71" s="15">
        <f t="shared" si="41"/>
        <v>0</v>
      </c>
      <c r="L71" s="18">
        <v>0</v>
      </c>
      <c r="M71" s="15">
        <f t="shared" si="42"/>
        <v>0</v>
      </c>
      <c r="N71" s="18">
        <v>0</v>
      </c>
      <c r="O71" s="15">
        <f t="shared" si="43"/>
        <v>0</v>
      </c>
      <c r="P71" s="18">
        <v>0</v>
      </c>
      <c r="Q71" s="15">
        <f t="shared" si="44"/>
        <v>0</v>
      </c>
      <c r="R71" s="18">
        <v>0</v>
      </c>
      <c r="S71" s="15">
        <f t="shared" si="45"/>
        <v>0</v>
      </c>
      <c r="T71" s="18">
        <v>0</v>
      </c>
      <c r="U71" s="15">
        <f t="shared" si="46"/>
        <v>0</v>
      </c>
      <c r="V71" s="18">
        <v>0</v>
      </c>
      <c r="W71" s="15">
        <f t="shared" si="47"/>
        <v>0</v>
      </c>
      <c r="X71" s="18">
        <v>0</v>
      </c>
      <c r="Y71" s="15">
        <f t="shared" si="48"/>
        <v>0</v>
      </c>
      <c r="Z71" s="18">
        <v>0</v>
      </c>
      <c r="AA71" s="15">
        <f t="shared" si="49"/>
        <v>0</v>
      </c>
      <c r="AB71" s="18">
        <v>0</v>
      </c>
      <c r="AC71" s="15">
        <f t="shared" si="50"/>
        <v>0</v>
      </c>
    </row>
    <row r="72" spans="2:29" ht="15">
      <c r="B72" s="57">
        <v>2451</v>
      </c>
      <c r="C72" s="14" t="s">
        <v>122</v>
      </c>
      <c r="D72" s="58">
        <f>+PRESUPACUM!D72</f>
        <v>0</v>
      </c>
      <c r="E72" s="58">
        <f>+PRESUPACUM!E72</f>
        <v>0</v>
      </c>
      <c r="F72" s="18">
        <v>0</v>
      </c>
      <c r="G72" s="59">
        <f t="shared" si="39"/>
        <v>0</v>
      </c>
      <c r="H72" s="18">
        <v>0</v>
      </c>
      <c r="I72" s="15">
        <f t="shared" si="40"/>
        <v>0</v>
      </c>
      <c r="J72" s="18">
        <v>0</v>
      </c>
      <c r="K72" s="15">
        <f t="shared" si="41"/>
        <v>0</v>
      </c>
      <c r="L72" s="18">
        <v>0</v>
      </c>
      <c r="M72" s="15">
        <f t="shared" si="42"/>
        <v>0</v>
      </c>
      <c r="N72" s="18">
        <v>0</v>
      </c>
      <c r="O72" s="15">
        <f t="shared" si="43"/>
        <v>0</v>
      </c>
      <c r="P72" s="18">
        <v>0</v>
      </c>
      <c r="Q72" s="15">
        <f t="shared" si="44"/>
        <v>0</v>
      </c>
      <c r="R72" s="18">
        <v>0</v>
      </c>
      <c r="S72" s="15">
        <f t="shared" si="45"/>
        <v>0</v>
      </c>
      <c r="T72" s="18">
        <v>0</v>
      </c>
      <c r="U72" s="15">
        <f t="shared" si="46"/>
        <v>0</v>
      </c>
      <c r="V72" s="18">
        <v>0</v>
      </c>
      <c r="W72" s="15">
        <f t="shared" si="47"/>
        <v>0</v>
      </c>
      <c r="X72" s="18">
        <v>0</v>
      </c>
      <c r="Y72" s="15">
        <f t="shared" si="48"/>
        <v>0</v>
      </c>
      <c r="Z72" s="18">
        <v>0</v>
      </c>
      <c r="AA72" s="15">
        <f t="shared" si="49"/>
        <v>0</v>
      </c>
      <c r="AB72" s="18">
        <v>0</v>
      </c>
      <c r="AC72" s="15">
        <f t="shared" si="50"/>
        <v>0</v>
      </c>
    </row>
    <row r="73" spans="2:29" ht="15">
      <c r="B73" s="57">
        <v>2461</v>
      </c>
      <c r="C73" s="14" t="s">
        <v>123</v>
      </c>
      <c r="D73" s="58">
        <f>+PRESUPACUM!D73</f>
        <v>203888.66999999998</v>
      </c>
      <c r="E73" s="58">
        <f>+PRESUPACUM!E73</f>
        <v>223488.67</v>
      </c>
      <c r="F73" s="18">
        <v>0</v>
      </c>
      <c r="G73" s="59">
        <f t="shared" si="39"/>
        <v>0</v>
      </c>
      <c r="H73" s="18">
        <v>0</v>
      </c>
      <c r="I73" s="15">
        <f t="shared" si="40"/>
        <v>0</v>
      </c>
      <c r="J73" s="18">
        <v>19563.17</v>
      </c>
      <c r="K73" s="15">
        <f t="shared" si="41"/>
        <v>19563.17</v>
      </c>
      <c r="L73" s="18">
        <v>0</v>
      </c>
      <c r="M73" s="15">
        <f t="shared" si="42"/>
        <v>19563.17</v>
      </c>
      <c r="N73" s="18">
        <v>0</v>
      </c>
      <c r="O73" s="15">
        <f t="shared" si="43"/>
        <v>19563.17</v>
      </c>
      <c r="P73" s="18">
        <v>0</v>
      </c>
      <c r="Q73" s="15">
        <f t="shared" si="44"/>
        <v>19563.17</v>
      </c>
      <c r="R73" s="18">
        <v>0</v>
      </c>
      <c r="S73" s="15">
        <f t="shared" si="45"/>
        <v>19563.17</v>
      </c>
      <c r="T73" s="18">
        <v>0</v>
      </c>
      <c r="U73" s="15">
        <f t="shared" si="46"/>
        <v>19563.17</v>
      </c>
      <c r="V73" s="18">
        <v>0</v>
      </c>
      <c r="W73" s="15">
        <f t="shared" si="47"/>
        <v>19563.17</v>
      </c>
      <c r="X73" s="18">
        <v>0</v>
      </c>
      <c r="Y73" s="15">
        <f t="shared" si="48"/>
        <v>19563.17</v>
      </c>
      <c r="Z73" s="18">
        <v>0</v>
      </c>
      <c r="AA73" s="15">
        <f t="shared" si="49"/>
        <v>19563.17</v>
      </c>
      <c r="AB73" s="18">
        <v>0</v>
      </c>
      <c r="AC73" s="15">
        <f t="shared" si="50"/>
        <v>19563.17</v>
      </c>
    </row>
    <row r="74" spans="2:29" ht="15">
      <c r="B74" s="57">
        <v>2471</v>
      </c>
      <c r="C74" s="14" t="s">
        <v>124</v>
      </c>
      <c r="D74" s="58">
        <f>+PRESUPACUM!D74</f>
        <v>572811.9</v>
      </c>
      <c r="E74" s="58">
        <f>+PRESUPACUM!E74</f>
        <v>574361.0700000001</v>
      </c>
      <c r="F74" s="18">
        <v>0</v>
      </c>
      <c r="G74" s="59">
        <f t="shared" si="39"/>
        <v>0</v>
      </c>
      <c r="H74" s="18">
        <v>0</v>
      </c>
      <c r="I74" s="15">
        <f t="shared" si="40"/>
        <v>0</v>
      </c>
      <c r="J74" s="18">
        <v>1549.17</v>
      </c>
      <c r="K74" s="15">
        <f t="shared" si="41"/>
        <v>1549.17</v>
      </c>
      <c r="L74" s="18">
        <v>0</v>
      </c>
      <c r="M74" s="15">
        <f t="shared" si="42"/>
        <v>1549.17</v>
      </c>
      <c r="N74" s="18">
        <v>0</v>
      </c>
      <c r="O74" s="15">
        <f t="shared" si="43"/>
        <v>1549.17</v>
      </c>
      <c r="P74" s="18">
        <v>0</v>
      </c>
      <c r="Q74" s="15">
        <f t="shared" si="44"/>
        <v>1549.17</v>
      </c>
      <c r="R74" s="18">
        <v>0</v>
      </c>
      <c r="S74" s="15">
        <f t="shared" si="45"/>
        <v>1549.17</v>
      </c>
      <c r="T74" s="18">
        <v>0</v>
      </c>
      <c r="U74" s="15">
        <f t="shared" si="46"/>
        <v>1549.17</v>
      </c>
      <c r="V74" s="18">
        <v>0</v>
      </c>
      <c r="W74" s="15">
        <f t="shared" si="47"/>
        <v>1549.17</v>
      </c>
      <c r="X74" s="18">
        <v>0</v>
      </c>
      <c r="Y74" s="15">
        <f t="shared" si="48"/>
        <v>1549.17</v>
      </c>
      <c r="Z74" s="18">
        <v>0</v>
      </c>
      <c r="AA74" s="15">
        <f t="shared" si="49"/>
        <v>1549.17</v>
      </c>
      <c r="AB74" s="18">
        <v>0</v>
      </c>
      <c r="AC74" s="15">
        <f t="shared" si="50"/>
        <v>1549.17</v>
      </c>
    </row>
    <row r="75" spans="2:29" ht="15">
      <c r="B75" s="57">
        <v>2481</v>
      </c>
      <c r="C75" s="14" t="s">
        <v>125</v>
      </c>
      <c r="D75" s="58">
        <f>+PRESUPACUM!D75</f>
        <v>325511.5</v>
      </c>
      <c r="E75" s="58">
        <f>+PRESUPACUM!E75</f>
        <v>325511.5</v>
      </c>
      <c r="F75" s="18">
        <v>0</v>
      </c>
      <c r="G75" s="59">
        <f t="shared" si="39"/>
        <v>0</v>
      </c>
      <c r="H75" s="18">
        <v>0</v>
      </c>
      <c r="I75" s="15">
        <f t="shared" si="40"/>
        <v>0</v>
      </c>
      <c r="J75" s="18">
        <v>0</v>
      </c>
      <c r="K75" s="15">
        <f t="shared" si="41"/>
        <v>0</v>
      </c>
      <c r="L75" s="18">
        <v>0</v>
      </c>
      <c r="M75" s="15">
        <f t="shared" si="42"/>
        <v>0</v>
      </c>
      <c r="N75" s="18">
        <v>0</v>
      </c>
      <c r="O75" s="15">
        <f t="shared" si="43"/>
        <v>0</v>
      </c>
      <c r="P75" s="18">
        <v>0</v>
      </c>
      <c r="Q75" s="15">
        <f t="shared" si="44"/>
        <v>0</v>
      </c>
      <c r="R75" s="18">
        <v>0</v>
      </c>
      <c r="S75" s="15">
        <f t="shared" si="45"/>
        <v>0</v>
      </c>
      <c r="T75" s="18">
        <v>0</v>
      </c>
      <c r="U75" s="15">
        <f t="shared" si="46"/>
        <v>0</v>
      </c>
      <c r="V75" s="18">
        <v>0</v>
      </c>
      <c r="W75" s="15">
        <f t="shared" si="47"/>
        <v>0</v>
      </c>
      <c r="X75" s="18">
        <v>0</v>
      </c>
      <c r="Y75" s="15">
        <f t="shared" si="48"/>
        <v>0</v>
      </c>
      <c r="Z75" s="18">
        <v>0</v>
      </c>
      <c r="AA75" s="15">
        <f t="shared" si="49"/>
        <v>0</v>
      </c>
      <c r="AB75" s="18">
        <v>0</v>
      </c>
      <c r="AC75" s="15">
        <f t="shared" si="50"/>
        <v>0</v>
      </c>
    </row>
    <row r="76" spans="2:29" ht="15">
      <c r="B76" s="57">
        <v>2491</v>
      </c>
      <c r="C76" s="14" t="s">
        <v>126</v>
      </c>
      <c r="D76" s="58">
        <f>+PRESUPACUM!D76</f>
        <v>587613.93</v>
      </c>
      <c r="E76" s="58">
        <f>+PRESUPACUM!E76</f>
        <v>589135.8</v>
      </c>
      <c r="F76" s="18">
        <v>0</v>
      </c>
      <c r="G76" s="59">
        <f t="shared" si="39"/>
        <v>0</v>
      </c>
      <c r="H76" s="18">
        <v>450.39</v>
      </c>
      <c r="I76" s="15">
        <f t="shared" si="40"/>
        <v>450.39</v>
      </c>
      <c r="J76" s="18">
        <v>1071.48</v>
      </c>
      <c r="K76" s="15">
        <f t="shared" si="41"/>
        <v>1521.87</v>
      </c>
      <c r="L76" s="18">
        <v>0</v>
      </c>
      <c r="M76" s="15">
        <f t="shared" si="42"/>
        <v>1521.87</v>
      </c>
      <c r="N76" s="18">
        <v>0</v>
      </c>
      <c r="O76" s="15">
        <f t="shared" si="43"/>
        <v>1521.87</v>
      </c>
      <c r="P76" s="18">
        <v>0</v>
      </c>
      <c r="Q76" s="15">
        <f t="shared" si="44"/>
        <v>1521.87</v>
      </c>
      <c r="R76" s="18">
        <v>0</v>
      </c>
      <c r="S76" s="15">
        <f t="shared" si="45"/>
        <v>1521.87</v>
      </c>
      <c r="T76" s="18">
        <v>0</v>
      </c>
      <c r="U76" s="15">
        <f t="shared" si="46"/>
        <v>1521.87</v>
      </c>
      <c r="V76" s="18">
        <v>0</v>
      </c>
      <c r="W76" s="15">
        <f t="shared" si="47"/>
        <v>1521.87</v>
      </c>
      <c r="X76" s="18">
        <v>0</v>
      </c>
      <c r="Y76" s="15">
        <f t="shared" si="48"/>
        <v>1521.87</v>
      </c>
      <c r="Z76" s="18">
        <v>0</v>
      </c>
      <c r="AA76" s="15">
        <f t="shared" si="49"/>
        <v>1521.87</v>
      </c>
      <c r="AB76" s="18">
        <v>0</v>
      </c>
      <c r="AC76" s="15">
        <f t="shared" si="50"/>
        <v>1521.87</v>
      </c>
    </row>
    <row r="77" spans="4:29" ht="15.75">
      <c r="D77" s="95"/>
      <c r="E77" s="95"/>
      <c r="F77" s="19"/>
      <c r="G77" s="20"/>
      <c r="H77" s="19"/>
      <c r="I77" s="20"/>
      <c r="J77" s="19"/>
      <c r="K77" s="20"/>
      <c r="L77" s="19"/>
      <c r="M77" s="15"/>
      <c r="N77" s="19"/>
      <c r="O77" s="15"/>
      <c r="P77" s="19"/>
      <c r="Q77" s="15"/>
      <c r="R77" s="19"/>
      <c r="S77" s="15"/>
      <c r="T77" s="19"/>
      <c r="U77" s="15"/>
      <c r="V77" s="19"/>
      <c r="W77" s="15"/>
      <c r="X77" s="19"/>
      <c r="Y77" s="15"/>
      <c r="Z77" s="19"/>
      <c r="AA77" s="15"/>
      <c r="AB77" s="19"/>
      <c r="AC77" s="15"/>
    </row>
    <row r="78" spans="2:29" ht="15.75">
      <c r="B78" s="69">
        <v>2500</v>
      </c>
      <c r="C78" s="67" t="s">
        <v>187</v>
      </c>
      <c r="D78" s="92">
        <f>SUM(D79:D84)</f>
        <v>120000</v>
      </c>
      <c r="E78" s="92">
        <f>SUM(E79:E84)</f>
        <v>116000</v>
      </c>
      <c r="F78" s="92">
        <f aca="true" t="shared" si="51" ref="F78:AC78">SUM(F79:F84)</f>
        <v>0</v>
      </c>
      <c r="G78" s="92">
        <f t="shared" si="51"/>
        <v>0</v>
      </c>
      <c r="H78" s="92">
        <f>SUM(H79:H84)</f>
        <v>0</v>
      </c>
      <c r="I78" s="92">
        <f t="shared" si="51"/>
        <v>0</v>
      </c>
      <c r="J78" s="92">
        <f>SUM(J79:J84)</f>
        <v>0</v>
      </c>
      <c r="K78" s="92">
        <f t="shared" si="51"/>
        <v>0</v>
      </c>
      <c r="L78" s="92">
        <f t="shared" si="51"/>
        <v>0</v>
      </c>
      <c r="M78" s="92">
        <f t="shared" si="51"/>
        <v>0</v>
      </c>
      <c r="N78" s="92">
        <f>SUM(N79:N84)</f>
        <v>0</v>
      </c>
      <c r="O78" s="92">
        <f t="shared" si="51"/>
        <v>0</v>
      </c>
      <c r="P78" s="92">
        <f>SUM(P79:P84)</f>
        <v>0</v>
      </c>
      <c r="Q78" s="92">
        <f t="shared" si="51"/>
        <v>0</v>
      </c>
      <c r="R78" s="92">
        <f>SUM(R79:R84)</f>
        <v>0</v>
      </c>
      <c r="S78" s="92">
        <f t="shared" si="51"/>
        <v>0</v>
      </c>
      <c r="T78" s="92">
        <f t="shared" si="51"/>
        <v>0</v>
      </c>
      <c r="U78" s="92">
        <f t="shared" si="51"/>
        <v>0</v>
      </c>
      <c r="V78" s="92">
        <f>SUM(V79:V84)</f>
        <v>0</v>
      </c>
      <c r="W78" s="92">
        <f t="shared" si="51"/>
        <v>0</v>
      </c>
      <c r="X78" s="92">
        <f>SUM(X79:X84)</f>
        <v>0</v>
      </c>
      <c r="Y78" s="92">
        <f t="shared" si="51"/>
        <v>0</v>
      </c>
      <c r="Z78" s="92">
        <f t="shared" si="51"/>
        <v>0</v>
      </c>
      <c r="AA78" s="92">
        <f t="shared" si="51"/>
        <v>0</v>
      </c>
      <c r="AB78" s="92">
        <f>SUM(AB79:AB84)</f>
        <v>0</v>
      </c>
      <c r="AC78" s="92">
        <f t="shared" si="51"/>
        <v>0</v>
      </c>
    </row>
    <row r="79" spans="2:29" ht="15">
      <c r="B79" s="57">
        <v>2511</v>
      </c>
      <c r="C79" s="26" t="s">
        <v>205</v>
      </c>
      <c r="D79" s="93">
        <f>+PRESUPACUM!D79</f>
        <v>0</v>
      </c>
      <c r="E79" s="93">
        <f>+PRESUPACUM!E79</f>
        <v>0</v>
      </c>
      <c r="F79" s="17">
        <v>0</v>
      </c>
      <c r="G79" s="59">
        <f aca="true" t="shared" si="52" ref="G79:G84">+F79</f>
        <v>0</v>
      </c>
      <c r="H79" s="17">
        <v>0</v>
      </c>
      <c r="I79" s="15">
        <f aca="true" t="shared" si="53" ref="I79:I84">+G79+H79</f>
        <v>0</v>
      </c>
      <c r="J79" s="17">
        <v>0</v>
      </c>
      <c r="K79" s="15">
        <f aca="true" t="shared" si="54" ref="K79:K84">+I79+J79</f>
        <v>0</v>
      </c>
      <c r="L79" s="17">
        <v>0</v>
      </c>
      <c r="M79" s="15">
        <f aca="true" t="shared" si="55" ref="M79:M84">+K79+L79</f>
        <v>0</v>
      </c>
      <c r="N79" s="17">
        <v>0</v>
      </c>
      <c r="O79" s="15">
        <f aca="true" t="shared" si="56" ref="O79:O84">+M79+N79</f>
        <v>0</v>
      </c>
      <c r="P79" s="17">
        <v>0</v>
      </c>
      <c r="Q79" s="15">
        <f aca="true" t="shared" si="57" ref="Q79:Q84">+O79+P79</f>
        <v>0</v>
      </c>
      <c r="R79" s="17">
        <v>0</v>
      </c>
      <c r="S79" s="15">
        <f aca="true" t="shared" si="58" ref="S79:S84">+Q79+R79</f>
        <v>0</v>
      </c>
      <c r="T79" s="17">
        <v>0</v>
      </c>
      <c r="U79" s="15">
        <f aca="true" t="shared" si="59" ref="U79:U84">+S79+T79</f>
        <v>0</v>
      </c>
      <c r="V79" s="17">
        <v>0</v>
      </c>
      <c r="W79" s="15">
        <f aca="true" t="shared" si="60" ref="W79:W84">+U79+V79</f>
        <v>0</v>
      </c>
      <c r="X79" s="17">
        <v>0</v>
      </c>
      <c r="Y79" s="15">
        <f aca="true" t="shared" si="61" ref="Y79:Y84">+W79+X79</f>
        <v>0</v>
      </c>
      <c r="Z79" s="17">
        <v>0</v>
      </c>
      <c r="AA79" s="15">
        <f aca="true" t="shared" si="62" ref="AA79:AA84">+Y79+Z79</f>
        <v>0</v>
      </c>
      <c r="AB79" s="17">
        <v>0</v>
      </c>
      <c r="AC79" s="15">
        <f aca="true" t="shared" si="63" ref="AC79:AC84">+AA79+AB79</f>
        <v>0</v>
      </c>
    </row>
    <row r="80" spans="2:29" ht="15">
      <c r="B80" s="57">
        <v>2521</v>
      </c>
      <c r="C80" s="26" t="s">
        <v>203</v>
      </c>
      <c r="D80" s="93">
        <f>+PRESUPACUM!D80</f>
        <v>0</v>
      </c>
      <c r="E80" s="93">
        <f>+PRESUPACUM!E80</f>
        <v>0</v>
      </c>
      <c r="F80" s="17">
        <v>0</v>
      </c>
      <c r="G80" s="59">
        <f t="shared" si="52"/>
        <v>0</v>
      </c>
      <c r="H80" s="17">
        <v>0</v>
      </c>
      <c r="I80" s="15">
        <f t="shared" si="53"/>
        <v>0</v>
      </c>
      <c r="J80" s="17">
        <v>0</v>
      </c>
      <c r="K80" s="15">
        <f t="shared" si="54"/>
        <v>0</v>
      </c>
      <c r="L80" s="17">
        <v>0</v>
      </c>
      <c r="M80" s="15">
        <f t="shared" si="55"/>
        <v>0</v>
      </c>
      <c r="N80" s="17">
        <v>0</v>
      </c>
      <c r="O80" s="15">
        <f t="shared" si="56"/>
        <v>0</v>
      </c>
      <c r="P80" s="17">
        <v>0</v>
      </c>
      <c r="Q80" s="15">
        <f t="shared" si="57"/>
        <v>0</v>
      </c>
      <c r="R80" s="17">
        <v>0</v>
      </c>
      <c r="S80" s="15">
        <f t="shared" si="58"/>
        <v>0</v>
      </c>
      <c r="T80" s="17">
        <v>0</v>
      </c>
      <c r="U80" s="15">
        <f t="shared" si="59"/>
        <v>0</v>
      </c>
      <c r="V80" s="17">
        <v>0</v>
      </c>
      <c r="W80" s="15">
        <f t="shared" si="60"/>
        <v>0</v>
      </c>
      <c r="X80" s="17">
        <v>0</v>
      </c>
      <c r="Y80" s="15">
        <f t="shared" si="61"/>
        <v>0</v>
      </c>
      <c r="Z80" s="17">
        <v>0</v>
      </c>
      <c r="AA80" s="15">
        <f t="shared" si="62"/>
        <v>0</v>
      </c>
      <c r="AB80" s="17">
        <v>0</v>
      </c>
      <c r="AC80" s="15">
        <f t="shared" si="63"/>
        <v>0</v>
      </c>
    </row>
    <row r="81" spans="2:29" ht="15">
      <c r="B81" s="57">
        <v>2531</v>
      </c>
      <c r="C81" s="14" t="s">
        <v>48</v>
      </c>
      <c r="D81" s="58">
        <f>+PRESUPACUM!D81</f>
        <v>70000</v>
      </c>
      <c r="E81" s="58">
        <f>+PRESUPACUM!E81</f>
        <v>66000</v>
      </c>
      <c r="F81" s="18">
        <v>0</v>
      </c>
      <c r="G81" s="59">
        <f t="shared" si="52"/>
        <v>0</v>
      </c>
      <c r="H81" s="18">
        <v>0</v>
      </c>
      <c r="I81" s="15">
        <f t="shared" si="53"/>
        <v>0</v>
      </c>
      <c r="J81" s="18">
        <v>0</v>
      </c>
      <c r="K81" s="15">
        <f t="shared" si="54"/>
        <v>0</v>
      </c>
      <c r="L81" s="18">
        <v>0</v>
      </c>
      <c r="M81" s="15">
        <f t="shared" si="55"/>
        <v>0</v>
      </c>
      <c r="N81" s="18">
        <v>0</v>
      </c>
      <c r="O81" s="15">
        <f t="shared" si="56"/>
        <v>0</v>
      </c>
      <c r="P81" s="18">
        <v>0</v>
      </c>
      <c r="Q81" s="15">
        <f t="shared" si="57"/>
        <v>0</v>
      </c>
      <c r="R81" s="18">
        <v>0</v>
      </c>
      <c r="S81" s="15">
        <f t="shared" si="58"/>
        <v>0</v>
      </c>
      <c r="T81" s="18">
        <v>0</v>
      </c>
      <c r="U81" s="15">
        <f t="shared" si="59"/>
        <v>0</v>
      </c>
      <c r="V81" s="18">
        <v>0</v>
      </c>
      <c r="W81" s="15">
        <f t="shared" si="60"/>
        <v>0</v>
      </c>
      <c r="X81" s="18">
        <v>0</v>
      </c>
      <c r="Y81" s="15">
        <f t="shared" si="61"/>
        <v>0</v>
      </c>
      <c r="Z81" s="18">
        <v>0</v>
      </c>
      <c r="AA81" s="15">
        <f t="shared" si="62"/>
        <v>0</v>
      </c>
      <c r="AB81" s="18">
        <v>0</v>
      </c>
      <c r="AC81" s="15">
        <f t="shared" si="63"/>
        <v>0</v>
      </c>
    </row>
    <row r="82" spans="2:29" ht="15">
      <c r="B82" s="57">
        <v>2541</v>
      </c>
      <c r="C82" s="14" t="s">
        <v>49</v>
      </c>
      <c r="D82" s="58">
        <f>+PRESUPACUM!D82</f>
        <v>50000</v>
      </c>
      <c r="E82" s="58">
        <f>+PRESUPACUM!E82</f>
        <v>50000</v>
      </c>
      <c r="F82" s="18">
        <v>0</v>
      </c>
      <c r="G82" s="59">
        <f t="shared" si="52"/>
        <v>0</v>
      </c>
      <c r="H82" s="18">
        <v>0</v>
      </c>
      <c r="I82" s="15">
        <f t="shared" si="53"/>
        <v>0</v>
      </c>
      <c r="J82" s="18">
        <v>0</v>
      </c>
      <c r="K82" s="15">
        <f t="shared" si="54"/>
        <v>0</v>
      </c>
      <c r="L82" s="18">
        <v>0</v>
      </c>
      <c r="M82" s="15">
        <f t="shared" si="55"/>
        <v>0</v>
      </c>
      <c r="N82" s="18">
        <v>0</v>
      </c>
      <c r="O82" s="15">
        <f t="shared" si="56"/>
        <v>0</v>
      </c>
      <c r="P82" s="18">
        <v>0</v>
      </c>
      <c r="Q82" s="15">
        <f t="shared" si="57"/>
        <v>0</v>
      </c>
      <c r="R82" s="18">
        <v>0</v>
      </c>
      <c r="S82" s="15">
        <f t="shared" si="58"/>
        <v>0</v>
      </c>
      <c r="T82" s="18">
        <v>0</v>
      </c>
      <c r="U82" s="15">
        <f t="shared" si="59"/>
        <v>0</v>
      </c>
      <c r="V82" s="18">
        <v>0</v>
      </c>
      <c r="W82" s="15">
        <f t="shared" si="60"/>
        <v>0</v>
      </c>
      <c r="X82" s="18">
        <v>0</v>
      </c>
      <c r="Y82" s="15">
        <f t="shared" si="61"/>
        <v>0</v>
      </c>
      <c r="Z82" s="18">
        <v>0</v>
      </c>
      <c r="AA82" s="15">
        <f t="shared" si="62"/>
        <v>0</v>
      </c>
      <c r="AB82" s="18">
        <v>0</v>
      </c>
      <c r="AC82" s="15">
        <f t="shared" si="63"/>
        <v>0</v>
      </c>
    </row>
    <row r="83" spans="2:29" ht="15">
      <c r="B83" s="57">
        <v>2551</v>
      </c>
      <c r="C83" s="14" t="s">
        <v>9</v>
      </c>
      <c r="D83" s="93">
        <f>+PRESUPACUM!D83</f>
        <v>0</v>
      </c>
      <c r="E83" s="93">
        <f>+PRESUPACUM!E83</f>
        <v>0</v>
      </c>
      <c r="F83" s="17">
        <v>0</v>
      </c>
      <c r="G83" s="59">
        <f t="shared" si="52"/>
        <v>0</v>
      </c>
      <c r="H83" s="17">
        <v>0</v>
      </c>
      <c r="I83" s="15">
        <f t="shared" si="53"/>
        <v>0</v>
      </c>
      <c r="J83" s="17">
        <v>0</v>
      </c>
      <c r="K83" s="15">
        <f t="shared" si="54"/>
        <v>0</v>
      </c>
      <c r="L83" s="17">
        <v>0</v>
      </c>
      <c r="M83" s="15">
        <f t="shared" si="55"/>
        <v>0</v>
      </c>
      <c r="N83" s="17">
        <v>0</v>
      </c>
      <c r="O83" s="15">
        <f t="shared" si="56"/>
        <v>0</v>
      </c>
      <c r="P83" s="17">
        <v>0</v>
      </c>
      <c r="Q83" s="15">
        <f t="shared" si="57"/>
        <v>0</v>
      </c>
      <c r="R83" s="17">
        <v>0</v>
      </c>
      <c r="S83" s="15">
        <f t="shared" si="58"/>
        <v>0</v>
      </c>
      <c r="T83" s="17">
        <v>0</v>
      </c>
      <c r="U83" s="15">
        <f t="shared" si="59"/>
        <v>0</v>
      </c>
      <c r="V83" s="17">
        <v>0</v>
      </c>
      <c r="W83" s="15">
        <f t="shared" si="60"/>
        <v>0</v>
      </c>
      <c r="X83" s="17">
        <v>0</v>
      </c>
      <c r="Y83" s="15">
        <f t="shared" si="61"/>
        <v>0</v>
      </c>
      <c r="Z83" s="17">
        <v>0</v>
      </c>
      <c r="AA83" s="15">
        <f t="shared" si="62"/>
        <v>0</v>
      </c>
      <c r="AB83" s="17">
        <v>0</v>
      </c>
      <c r="AC83" s="15">
        <f t="shared" si="63"/>
        <v>0</v>
      </c>
    </row>
    <row r="84" spans="2:29" ht="15">
      <c r="B84" s="57">
        <v>2561</v>
      </c>
      <c r="C84" s="14" t="s">
        <v>206</v>
      </c>
      <c r="D84" s="93">
        <f>+PRESUPACUM!D84</f>
        <v>0</v>
      </c>
      <c r="E84" s="93">
        <f>+PRESUPACUM!E84</f>
        <v>0</v>
      </c>
      <c r="F84" s="17">
        <v>0</v>
      </c>
      <c r="G84" s="59">
        <f t="shared" si="52"/>
        <v>0</v>
      </c>
      <c r="H84" s="17">
        <v>0</v>
      </c>
      <c r="I84" s="15">
        <f t="shared" si="53"/>
        <v>0</v>
      </c>
      <c r="J84" s="17">
        <v>0</v>
      </c>
      <c r="K84" s="15">
        <f t="shared" si="54"/>
        <v>0</v>
      </c>
      <c r="L84" s="17">
        <v>0</v>
      </c>
      <c r="M84" s="15">
        <f t="shared" si="55"/>
        <v>0</v>
      </c>
      <c r="N84" s="17">
        <v>0</v>
      </c>
      <c r="O84" s="15">
        <f t="shared" si="56"/>
        <v>0</v>
      </c>
      <c r="P84" s="17">
        <v>0</v>
      </c>
      <c r="Q84" s="15">
        <f t="shared" si="57"/>
        <v>0</v>
      </c>
      <c r="R84" s="17">
        <v>0</v>
      </c>
      <c r="S84" s="15">
        <f t="shared" si="58"/>
        <v>0</v>
      </c>
      <c r="T84" s="17">
        <v>0</v>
      </c>
      <c r="U84" s="15">
        <f t="shared" si="59"/>
        <v>0</v>
      </c>
      <c r="V84" s="17">
        <v>0</v>
      </c>
      <c r="W84" s="15">
        <f t="shared" si="60"/>
        <v>0</v>
      </c>
      <c r="X84" s="17">
        <v>0</v>
      </c>
      <c r="Y84" s="15">
        <f t="shared" si="61"/>
        <v>0</v>
      </c>
      <c r="Z84" s="17">
        <v>0</v>
      </c>
      <c r="AA84" s="15">
        <f t="shared" si="62"/>
        <v>0</v>
      </c>
      <c r="AB84" s="17">
        <v>0</v>
      </c>
      <c r="AC84" s="15">
        <f t="shared" si="63"/>
        <v>0</v>
      </c>
    </row>
    <row r="85" spans="4:29" ht="15">
      <c r="D85" s="58"/>
      <c r="E85" s="58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</row>
    <row r="86" spans="2:29" ht="15.75">
      <c r="B86" s="69">
        <v>2600</v>
      </c>
      <c r="C86" s="67" t="s">
        <v>17</v>
      </c>
      <c r="D86" s="92">
        <f aca="true" t="shared" si="64" ref="D86:AC86">SUM(D87:D87)</f>
        <v>300000</v>
      </c>
      <c r="E86" s="92">
        <f t="shared" si="64"/>
        <v>300000</v>
      </c>
      <c r="F86" s="70">
        <f t="shared" si="64"/>
        <v>0</v>
      </c>
      <c r="G86" s="70">
        <f t="shared" si="64"/>
        <v>0</v>
      </c>
      <c r="H86" s="70">
        <f t="shared" si="64"/>
        <v>0</v>
      </c>
      <c r="I86" s="70">
        <f t="shared" si="64"/>
        <v>0</v>
      </c>
      <c r="J86" s="70">
        <f t="shared" si="64"/>
        <v>0</v>
      </c>
      <c r="K86" s="70">
        <f t="shared" si="64"/>
        <v>0</v>
      </c>
      <c r="L86" s="70">
        <f t="shared" si="64"/>
        <v>0</v>
      </c>
      <c r="M86" s="70">
        <f t="shared" si="64"/>
        <v>0</v>
      </c>
      <c r="N86" s="70">
        <f t="shared" si="64"/>
        <v>0</v>
      </c>
      <c r="O86" s="70">
        <f t="shared" si="64"/>
        <v>0</v>
      </c>
      <c r="P86" s="70">
        <f t="shared" si="64"/>
        <v>0</v>
      </c>
      <c r="Q86" s="70">
        <f t="shared" si="64"/>
        <v>0</v>
      </c>
      <c r="R86" s="70">
        <f t="shared" si="64"/>
        <v>0</v>
      </c>
      <c r="S86" s="70">
        <f t="shared" si="64"/>
        <v>0</v>
      </c>
      <c r="T86" s="70">
        <f t="shared" si="64"/>
        <v>0</v>
      </c>
      <c r="U86" s="70">
        <f t="shared" si="64"/>
        <v>0</v>
      </c>
      <c r="V86" s="70">
        <f t="shared" si="64"/>
        <v>0</v>
      </c>
      <c r="W86" s="70">
        <f t="shared" si="64"/>
        <v>0</v>
      </c>
      <c r="X86" s="70">
        <f t="shared" si="64"/>
        <v>0</v>
      </c>
      <c r="Y86" s="70">
        <f t="shared" si="64"/>
        <v>0</v>
      </c>
      <c r="Z86" s="70">
        <f t="shared" si="64"/>
        <v>0</v>
      </c>
      <c r="AA86" s="70">
        <f t="shared" si="64"/>
        <v>0</v>
      </c>
      <c r="AB86" s="70">
        <f t="shared" si="64"/>
        <v>0</v>
      </c>
      <c r="AC86" s="70">
        <f t="shared" si="64"/>
        <v>0</v>
      </c>
    </row>
    <row r="87" spans="2:29" ht="15">
      <c r="B87" s="78">
        <v>2611</v>
      </c>
      <c r="C87" s="8" t="s">
        <v>127</v>
      </c>
      <c r="D87" s="58">
        <f>+PRESUPACUM!D87</f>
        <v>300000</v>
      </c>
      <c r="E87" s="58">
        <f>+PRESUPACUM!E87</f>
        <v>300000</v>
      </c>
      <c r="F87" s="18">
        <v>0</v>
      </c>
      <c r="G87" s="59">
        <f>+F87</f>
        <v>0</v>
      </c>
      <c r="H87" s="18">
        <v>0</v>
      </c>
      <c r="I87" s="15">
        <f>+G87+H87</f>
        <v>0</v>
      </c>
      <c r="J87" s="18">
        <v>0</v>
      </c>
      <c r="K87" s="15">
        <f>+I87+J87</f>
        <v>0</v>
      </c>
      <c r="L87" s="18">
        <v>0</v>
      </c>
      <c r="M87" s="15">
        <f>+K87+L87</f>
        <v>0</v>
      </c>
      <c r="N87" s="18">
        <v>0</v>
      </c>
      <c r="O87" s="15">
        <f>+M87+N87</f>
        <v>0</v>
      </c>
      <c r="P87" s="18">
        <v>0</v>
      </c>
      <c r="Q87" s="15">
        <f>+O87+P87</f>
        <v>0</v>
      </c>
      <c r="R87" s="18">
        <v>0</v>
      </c>
      <c r="S87" s="15">
        <f>+Q87+R87</f>
        <v>0</v>
      </c>
      <c r="T87" s="18">
        <v>0</v>
      </c>
      <c r="U87" s="15">
        <f>+S87+T87</f>
        <v>0</v>
      </c>
      <c r="V87" s="18">
        <v>0</v>
      </c>
      <c r="W87" s="15">
        <f>+U87+V87</f>
        <v>0</v>
      </c>
      <c r="X87" s="18">
        <v>0</v>
      </c>
      <c r="Y87" s="15">
        <f>+W87+X87</f>
        <v>0</v>
      </c>
      <c r="Z87" s="18">
        <v>0</v>
      </c>
      <c r="AA87" s="15">
        <f>+Y87+Z87</f>
        <v>0</v>
      </c>
      <c r="AB87" s="18">
        <v>0</v>
      </c>
      <c r="AC87" s="15">
        <f>+AA87+AB87</f>
        <v>0</v>
      </c>
    </row>
    <row r="88" spans="4:29" ht="15.75">
      <c r="D88" s="58"/>
      <c r="E88" s="58"/>
      <c r="F88" s="15"/>
      <c r="G88" s="15"/>
      <c r="H88" s="15"/>
      <c r="I88" s="21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</row>
    <row r="89" spans="2:29" ht="15.75">
      <c r="B89" s="69">
        <v>2700</v>
      </c>
      <c r="C89" s="67" t="s">
        <v>16</v>
      </c>
      <c r="D89" s="92">
        <f>SUM(D90:D92)</f>
        <v>54047.76</v>
      </c>
      <c r="E89" s="92">
        <f>SUM(E90:E92)</f>
        <v>54047.76</v>
      </c>
      <c r="F89" s="92">
        <f aca="true" t="shared" si="65" ref="F89:AC89">SUM(F90:F92)</f>
        <v>0</v>
      </c>
      <c r="G89" s="92">
        <f t="shared" si="65"/>
        <v>0</v>
      </c>
      <c r="H89" s="92">
        <f>SUM(H90:H92)</f>
        <v>0</v>
      </c>
      <c r="I89" s="92">
        <f t="shared" si="65"/>
        <v>0</v>
      </c>
      <c r="J89" s="92">
        <f>SUM(J90:J92)</f>
        <v>0</v>
      </c>
      <c r="K89" s="92">
        <f t="shared" si="65"/>
        <v>0</v>
      </c>
      <c r="L89" s="92">
        <f t="shared" si="65"/>
        <v>0</v>
      </c>
      <c r="M89" s="92">
        <f t="shared" si="65"/>
        <v>0</v>
      </c>
      <c r="N89" s="92">
        <f>SUM(N90:N92)</f>
        <v>0</v>
      </c>
      <c r="O89" s="92">
        <f t="shared" si="65"/>
        <v>0</v>
      </c>
      <c r="P89" s="92">
        <f>SUM(P90:P92)</f>
        <v>0</v>
      </c>
      <c r="Q89" s="92">
        <f t="shared" si="65"/>
        <v>0</v>
      </c>
      <c r="R89" s="92">
        <f>SUM(R90:R92)</f>
        <v>0</v>
      </c>
      <c r="S89" s="92">
        <f t="shared" si="65"/>
        <v>0</v>
      </c>
      <c r="T89" s="92">
        <f t="shared" si="65"/>
        <v>0</v>
      </c>
      <c r="U89" s="92">
        <f t="shared" si="65"/>
        <v>0</v>
      </c>
      <c r="V89" s="92">
        <f>SUM(V90:V92)</f>
        <v>0</v>
      </c>
      <c r="W89" s="92">
        <f t="shared" si="65"/>
        <v>0</v>
      </c>
      <c r="X89" s="92">
        <f>SUM(X90:X92)</f>
        <v>0</v>
      </c>
      <c r="Y89" s="92">
        <f t="shared" si="65"/>
        <v>0</v>
      </c>
      <c r="Z89" s="92">
        <f t="shared" si="65"/>
        <v>0</v>
      </c>
      <c r="AA89" s="92">
        <f t="shared" si="65"/>
        <v>0</v>
      </c>
      <c r="AB89" s="92">
        <f>SUM(AB90:AB92)</f>
        <v>0</v>
      </c>
      <c r="AC89" s="92">
        <f t="shared" si="65"/>
        <v>0</v>
      </c>
    </row>
    <row r="90" spans="2:29" ht="15">
      <c r="B90" s="57">
        <v>2711</v>
      </c>
      <c r="C90" s="14" t="s">
        <v>128</v>
      </c>
      <c r="D90" s="58">
        <f>+PRESUPACUM!D90</f>
        <v>0</v>
      </c>
      <c r="E90" s="58">
        <f>+PRESUPACUM!E90</f>
        <v>0</v>
      </c>
      <c r="F90" s="18">
        <v>0</v>
      </c>
      <c r="G90" s="59">
        <f>+F90</f>
        <v>0</v>
      </c>
      <c r="H90" s="18">
        <v>0</v>
      </c>
      <c r="I90" s="15">
        <f>+G90+H90</f>
        <v>0</v>
      </c>
      <c r="J90" s="18">
        <v>0</v>
      </c>
      <c r="K90" s="15">
        <f>+I90+J90</f>
        <v>0</v>
      </c>
      <c r="L90" s="18">
        <v>0</v>
      </c>
      <c r="M90" s="15">
        <f>+K90+L90</f>
        <v>0</v>
      </c>
      <c r="N90" s="18">
        <v>0</v>
      </c>
      <c r="O90" s="15">
        <f>+M90+N90</f>
        <v>0</v>
      </c>
      <c r="P90" s="18">
        <v>0</v>
      </c>
      <c r="Q90" s="15">
        <f>+O90+P90</f>
        <v>0</v>
      </c>
      <c r="R90" s="18">
        <v>0</v>
      </c>
      <c r="S90" s="15">
        <f>+Q90+R90</f>
        <v>0</v>
      </c>
      <c r="T90" s="18">
        <v>0</v>
      </c>
      <c r="U90" s="15">
        <f>+S90+T90</f>
        <v>0</v>
      </c>
      <c r="V90" s="18">
        <v>0</v>
      </c>
      <c r="W90" s="15">
        <f>+U90+V90</f>
        <v>0</v>
      </c>
      <c r="X90" s="18">
        <v>0</v>
      </c>
      <c r="Y90" s="15">
        <f>+W90+X90</f>
        <v>0</v>
      </c>
      <c r="Z90" s="18">
        <v>0</v>
      </c>
      <c r="AA90" s="15">
        <f>+Y90+Z90</f>
        <v>0</v>
      </c>
      <c r="AB90" s="18">
        <v>0</v>
      </c>
      <c r="AC90" s="15">
        <f>+AA90+AB90</f>
        <v>0</v>
      </c>
    </row>
    <row r="91" spans="2:29" ht="15">
      <c r="B91" s="8">
        <v>2721</v>
      </c>
      <c r="C91" s="8" t="s">
        <v>129</v>
      </c>
      <c r="D91" s="58">
        <f>+PRESUPACUM!D91</f>
        <v>54047.76</v>
      </c>
      <c r="E91" s="58">
        <f>+PRESUPACUM!E91</f>
        <v>54047.76</v>
      </c>
      <c r="F91" s="18">
        <v>0</v>
      </c>
      <c r="G91" s="59">
        <f>+F91</f>
        <v>0</v>
      </c>
      <c r="H91" s="18">
        <v>0</v>
      </c>
      <c r="I91" s="15">
        <f>+G91+H91</f>
        <v>0</v>
      </c>
      <c r="J91" s="18">
        <v>0</v>
      </c>
      <c r="K91" s="15">
        <f>+I91+J91</f>
        <v>0</v>
      </c>
      <c r="L91" s="18">
        <v>0</v>
      </c>
      <c r="M91" s="15">
        <f>+K91+L91</f>
        <v>0</v>
      </c>
      <c r="N91" s="18">
        <v>0</v>
      </c>
      <c r="O91" s="15">
        <f>+M91+N91</f>
        <v>0</v>
      </c>
      <c r="P91" s="18">
        <v>0</v>
      </c>
      <c r="Q91" s="15">
        <f>+O91+P91</f>
        <v>0</v>
      </c>
      <c r="R91" s="18">
        <v>0</v>
      </c>
      <c r="S91" s="15">
        <f>+Q91+R91</f>
        <v>0</v>
      </c>
      <c r="T91" s="18">
        <v>0</v>
      </c>
      <c r="U91" s="15">
        <f>+S91+T91</f>
        <v>0</v>
      </c>
      <c r="V91" s="18">
        <v>0</v>
      </c>
      <c r="W91" s="15">
        <f>+U91+V91</f>
        <v>0</v>
      </c>
      <c r="X91" s="18">
        <v>0</v>
      </c>
      <c r="Y91" s="15">
        <f>+W91+X91</f>
        <v>0</v>
      </c>
      <c r="Z91" s="18">
        <v>0</v>
      </c>
      <c r="AA91" s="15">
        <f>+Y91+Z91</f>
        <v>0</v>
      </c>
      <c r="AB91" s="18">
        <v>0</v>
      </c>
      <c r="AC91" s="15">
        <f>+AA91+AB91</f>
        <v>0</v>
      </c>
    </row>
    <row r="92" spans="2:29" ht="15">
      <c r="B92" s="8">
        <v>2741</v>
      </c>
      <c r="C92" s="8" t="s">
        <v>276</v>
      </c>
      <c r="D92" s="58">
        <f>+PRESUPACUM!D92</f>
        <v>0</v>
      </c>
      <c r="E92" s="58">
        <f>+PRESUPACUM!E92</f>
        <v>0</v>
      </c>
      <c r="F92" s="18">
        <v>0</v>
      </c>
      <c r="G92" s="59">
        <f>+F92</f>
        <v>0</v>
      </c>
      <c r="H92" s="18">
        <v>0</v>
      </c>
      <c r="I92" s="15">
        <f>+G92+H92</f>
        <v>0</v>
      </c>
      <c r="J92" s="18">
        <v>0</v>
      </c>
      <c r="K92" s="15">
        <f>+I92+J92</f>
        <v>0</v>
      </c>
      <c r="L92" s="18">
        <v>0</v>
      </c>
      <c r="M92" s="15">
        <f>+K92+L92</f>
        <v>0</v>
      </c>
      <c r="N92" s="18">
        <v>0</v>
      </c>
      <c r="O92" s="15">
        <f>+M92+N92</f>
        <v>0</v>
      </c>
      <c r="P92" s="18">
        <v>0</v>
      </c>
      <c r="Q92" s="15">
        <f>+O92+P92</f>
        <v>0</v>
      </c>
      <c r="R92" s="18">
        <v>0</v>
      </c>
      <c r="S92" s="15">
        <f>+Q92+R92</f>
        <v>0</v>
      </c>
      <c r="T92" s="18">
        <v>0</v>
      </c>
      <c r="U92" s="15">
        <f>+S92+T92</f>
        <v>0</v>
      </c>
      <c r="V92" s="18">
        <v>0</v>
      </c>
      <c r="W92" s="15">
        <f>+U92+V92</f>
        <v>0</v>
      </c>
      <c r="X92" s="18">
        <v>0</v>
      </c>
      <c r="Y92" s="15">
        <f>+W92+X92</f>
        <v>0</v>
      </c>
      <c r="Z92" s="18">
        <v>0</v>
      </c>
      <c r="AA92" s="15">
        <f>+Y92+Z92</f>
        <v>0</v>
      </c>
      <c r="AB92" s="18">
        <v>0</v>
      </c>
      <c r="AC92" s="15">
        <f>+AA92+AB92</f>
        <v>0</v>
      </c>
    </row>
    <row r="93" spans="4:29" ht="15">
      <c r="D93" s="58"/>
      <c r="E93" s="58"/>
      <c r="F93" s="18"/>
      <c r="G93" s="59"/>
      <c r="H93" s="18"/>
      <c r="I93" s="15"/>
      <c r="J93" s="18"/>
      <c r="K93" s="15"/>
      <c r="L93" s="18"/>
      <c r="M93" s="15"/>
      <c r="N93" s="18"/>
      <c r="O93" s="15"/>
      <c r="P93" s="18"/>
      <c r="Q93" s="15"/>
      <c r="R93" s="18"/>
      <c r="S93" s="15"/>
      <c r="T93" s="18"/>
      <c r="U93" s="15"/>
      <c r="V93" s="18"/>
      <c r="W93" s="15"/>
      <c r="X93" s="18"/>
      <c r="Y93" s="15"/>
      <c r="Z93" s="18"/>
      <c r="AA93" s="15"/>
      <c r="AB93" s="18"/>
      <c r="AC93" s="15"/>
    </row>
    <row r="94" spans="2:29" ht="15.75">
      <c r="B94" s="16">
        <v>2900</v>
      </c>
      <c r="C94" s="77" t="s">
        <v>188</v>
      </c>
      <c r="D94" s="92">
        <f>SUM(D95:D99)</f>
        <v>258638.8</v>
      </c>
      <c r="E94" s="92">
        <f>SUM(E95:E99)</f>
        <v>259068.81</v>
      </c>
      <c r="F94" s="92">
        <f aca="true" t="shared" si="66" ref="F94:AC94">SUM(F95:F99)</f>
        <v>0</v>
      </c>
      <c r="G94" s="92">
        <f t="shared" si="66"/>
        <v>0</v>
      </c>
      <c r="H94" s="92">
        <f>SUM(H95:H99)</f>
        <v>278.01</v>
      </c>
      <c r="I94" s="92">
        <f t="shared" si="66"/>
        <v>278.01</v>
      </c>
      <c r="J94" s="92">
        <f>SUM(J95:J99)</f>
        <v>152</v>
      </c>
      <c r="K94" s="92">
        <f t="shared" si="66"/>
        <v>430.01</v>
      </c>
      <c r="L94" s="92">
        <f t="shared" si="66"/>
        <v>0</v>
      </c>
      <c r="M94" s="92">
        <f t="shared" si="66"/>
        <v>430.01</v>
      </c>
      <c r="N94" s="92">
        <f>SUM(N95:N99)</f>
        <v>0</v>
      </c>
      <c r="O94" s="92">
        <f t="shared" si="66"/>
        <v>430.01</v>
      </c>
      <c r="P94" s="92">
        <f>SUM(P95:P99)</f>
        <v>0</v>
      </c>
      <c r="Q94" s="92">
        <f t="shared" si="66"/>
        <v>430.01</v>
      </c>
      <c r="R94" s="92">
        <f>SUM(R95:R99)</f>
        <v>0</v>
      </c>
      <c r="S94" s="92">
        <f t="shared" si="66"/>
        <v>430.01</v>
      </c>
      <c r="T94" s="92">
        <f t="shared" si="66"/>
        <v>0</v>
      </c>
      <c r="U94" s="92">
        <f t="shared" si="66"/>
        <v>430.01</v>
      </c>
      <c r="V94" s="92">
        <f>SUM(V95:V99)</f>
        <v>0</v>
      </c>
      <c r="W94" s="92">
        <f t="shared" si="66"/>
        <v>430.01</v>
      </c>
      <c r="X94" s="92">
        <f>SUM(X95:X99)</f>
        <v>0</v>
      </c>
      <c r="Y94" s="92">
        <f t="shared" si="66"/>
        <v>430.01</v>
      </c>
      <c r="Z94" s="92">
        <f t="shared" si="66"/>
        <v>0</v>
      </c>
      <c r="AA94" s="92">
        <f t="shared" si="66"/>
        <v>430.01</v>
      </c>
      <c r="AB94" s="92">
        <f>SUM(AB95:AB99)</f>
        <v>0</v>
      </c>
      <c r="AC94" s="92">
        <f t="shared" si="66"/>
        <v>430.01</v>
      </c>
    </row>
    <row r="95" spans="2:29" ht="15">
      <c r="B95" s="8">
        <v>2911</v>
      </c>
      <c r="C95" s="40" t="s">
        <v>131</v>
      </c>
      <c r="D95" s="58">
        <f>+PRESUPACUM!D95</f>
        <v>105032</v>
      </c>
      <c r="E95" s="58">
        <f>+PRESUPACUM!E95</f>
        <v>105184</v>
      </c>
      <c r="F95" s="18">
        <v>0</v>
      </c>
      <c r="G95" s="59">
        <f>+F95</f>
        <v>0</v>
      </c>
      <c r="H95" s="18">
        <v>0</v>
      </c>
      <c r="I95" s="15">
        <f>+G95+H95</f>
        <v>0</v>
      </c>
      <c r="J95" s="18">
        <v>152</v>
      </c>
      <c r="K95" s="15">
        <f>+I95+J95</f>
        <v>152</v>
      </c>
      <c r="L95" s="18">
        <v>0</v>
      </c>
      <c r="M95" s="15">
        <f>+K95+L95</f>
        <v>152</v>
      </c>
      <c r="N95" s="18">
        <v>0</v>
      </c>
      <c r="O95" s="15">
        <f>+M95+N95</f>
        <v>152</v>
      </c>
      <c r="P95" s="18">
        <v>0</v>
      </c>
      <c r="Q95" s="15">
        <f>+O95+P95</f>
        <v>152</v>
      </c>
      <c r="R95" s="18">
        <v>0</v>
      </c>
      <c r="S95" s="15">
        <f>+Q95+R95</f>
        <v>152</v>
      </c>
      <c r="T95" s="18">
        <v>0</v>
      </c>
      <c r="U95" s="15">
        <f>+S95+T95</f>
        <v>152</v>
      </c>
      <c r="V95" s="18">
        <v>0</v>
      </c>
      <c r="W95" s="15">
        <f>+U95+V95</f>
        <v>152</v>
      </c>
      <c r="X95" s="18">
        <v>0</v>
      </c>
      <c r="Y95" s="15">
        <f>+W95+X95</f>
        <v>152</v>
      </c>
      <c r="Z95" s="18">
        <v>0</v>
      </c>
      <c r="AA95" s="15">
        <f>+Y95+Z95</f>
        <v>152</v>
      </c>
      <c r="AB95" s="18">
        <v>0</v>
      </c>
      <c r="AC95" s="15">
        <f>+AA95+AB95</f>
        <v>152</v>
      </c>
    </row>
    <row r="96" spans="2:29" ht="15">
      <c r="B96" s="8">
        <v>2921</v>
      </c>
      <c r="C96" s="40" t="s">
        <v>132</v>
      </c>
      <c r="D96" s="58">
        <f>+PRESUPACUM!D96</f>
        <v>37606.8</v>
      </c>
      <c r="E96" s="58">
        <f>+PRESUPACUM!E96</f>
        <v>37884.810000000005</v>
      </c>
      <c r="F96" s="18">
        <v>0</v>
      </c>
      <c r="G96" s="59">
        <f>+F96</f>
        <v>0</v>
      </c>
      <c r="H96" s="18">
        <v>278.01</v>
      </c>
      <c r="I96" s="15">
        <f>+G96+H96</f>
        <v>278.01</v>
      </c>
      <c r="J96" s="18">
        <v>0</v>
      </c>
      <c r="K96" s="15">
        <f>+I96+J96</f>
        <v>278.01</v>
      </c>
      <c r="L96" s="18">
        <v>0</v>
      </c>
      <c r="M96" s="15">
        <f>+K96+L96</f>
        <v>278.01</v>
      </c>
      <c r="N96" s="18">
        <v>0</v>
      </c>
      <c r="O96" s="15">
        <f>+M96+N96</f>
        <v>278.01</v>
      </c>
      <c r="P96" s="18">
        <v>0</v>
      </c>
      <c r="Q96" s="15">
        <f>+O96+P96</f>
        <v>278.01</v>
      </c>
      <c r="R96" s="18">
        <v>0</v>
      </c>
      <c r="S96" s="15">
        <f>+Q96+R96</f>
        <v>278.01</v>
      </c>
      <c r="T96" s="18">
        <v>0</v>
      </c>
      <c r="U96" s="15">
        <f>+S96+T96</f>
        <v>278.01</v>
      </c>
      <c r="V96" s="18">
        <v>0</v>
      </c>
      <c r="W96" s="15">
        <f>+U96+V96</f>
        <v>278.01</v>
      </c>
      <c r="X96" s="18">
        <v>0</v>
      </c>
      <c r="Y96" s="15">
        <f>+W96+X96</f>
        <v>278.01</v>
      </c>
      <c r="Z96" s="18">
        <v>0</v>
      </c>
      <c r="AA96" s="15">
        <f>+Y96+Z96</f>
        <v>278.01</v>
      </c>
      <c r="AB96" s="18">
        <v>0</v>
      </c>
      <c r="AC96" s="15">
        <f>+AA96+AB96</f>
        <v>278.01</v>
      </c>
    </row>
    <row r="97" spans="2:29" ht="15">
      <c r="B97" s="8">
        <v>2931</v>
      </c>
      <c r="C97" s="40" t="s">
        <v>133</v>
      </c>
      <c r="D97" s="58">
        <f>+PRESUPACUM!D97</f>
        <v>0</v>
      </c>
      <c r="E97" s="58">
        <f>+PRESUPACUM!E97</f>
        <v>0</v>
      </c>
      <c r="F97" s="18">
        <v>0</v>
      </c>
      <c r="G97" s="59">
        <f>+F97</f>
        <v>0</v>
      </c>
      <c r="H97" s="18">
        <v>0</v>
      </c>
      <c r="I97" s="15">
        <f>+G97+H97</f>
        <v>0</v>
      </c>
      <c r="J97" s="18">
        <v>0</v>
      </c>
      <c r="K97" s="15">
        <f>+I97+J97</f>
        <v>0</v>
      </c>
      <c r="L97" s="18">
        <v>0</v>
      </c>
      <c r="M97" s="15">
        <f>+K97+L97</f>
        <v>0</v>
      </c>
      <c r="N97" s="18">
        <v>0</v>
      </c>
      <c r="O97" s="15">
        <f>+M97+N97</f>
        <v>0</v>
      </c>
      <c r="P97" s="18">
        <v>0</v>
      </c>
      <c r="Q97" s="15">
        <f>+O97+P97</f>
        <v>0</v>
      </c>
      <c r="R97" s="18">
        <v>0</v>
      </c>
      <c r="S97" s="15">
        <f>+Q97+R97</f>
        <v>0</v>
      </c>
      <c r="T97" s="18">
        <v>0</v>
      </c>
      <c r="U97" s="15">
        <f>+S97+T97</f>
        <v>0</v>
      </c>
      <c r="V97" s="18">
        <v>0</v>
      </c>
      <c r="W97" s="15">
        <f>+U97+V97</f>
        <v>0</v>
      </c>
      <c r="X97" s="18">
        <v>0</v>
      </c>
      <c r="Y97" s="15">
        <f>+W97+X97</f>
        <v>0</v>
      </c>
      <c r="Z97" s="18">
        <v>0</v>
      </c>
      <c r="AA97" s="15">
        <f>+Y97+Z97</f>
        <v>0</v>
      </c>
      <c r="AB97" s="18">
        <v>0</v>
      </c>
      <c r="AC97" s="15">
        <f>+AA97+AB97</f>
        <v>0</v>
      </c>
    </row>
    <row r="98" spans="2:29" ht="15">
      <c r="B98" s="8">
        <v>2941</v>
      </c>
      <c r="C98" s="8" t="s">
        <v>130</v>
      </c>
      <c r="D98" s="58">
        <f>+PRESUPACUM!D98</f>
        <v>116000</v>
      </c>
      <c r="E98" s="58">
        <f>+PRESUPACUM!E98</f>
        <v>116000</v>
      </c>
      <c r="F98" s="18">
        <v>0</v>
      </c>
      <c r="G98" s="59">
        <f>+F98</f>
        <v>0</v>
      </c>
      <c r="H98" s="18">
        <v>0</v>
      </c>
      <c r="I98" s="15">
        <f>+G98+H98</f>
        <v>0</v>
      </c>
      <c r="J98" s="18">
        <v>0</v>
      </c>
      <c r="K98" s="15">
        <f>+I98+J98</f>
        <v>0</v>
      </c>
      <c r="L98" s="18">
        <v>0</v>
      </c>
      <c r="M98" s="15">
        <f>+K98+L98</f>
        <v>0</v>
      </c>
      <c r="N98" s="18">
        <v>0</v>
      </c>
      <c r="O98" s="15">
        <f>+M98+N98</f>
        <v>0</v>
      </c>
      <c r="P98" s="18">
        <v>0</v>
      </c>
      <c r="Q98" s="15">
        <f>+O98+P98</f>
        <v>0</v>
      </c>
      <c r="R98" s="18">
        <v>0</v>
      </c>
      <c r="S98" s="15">
        <f>+Q98+R98</f>
        <v>0</v>
      </c>
      <c r="T98" s="18">
        <v>0</v>
      </c>
      <c r="U98" s="15">
        <f>+S98+T98</f>
        <v>0</v>
      </c>
      <c r="V98" s="18">
        <v>0</v>
      </c>
      <c r="W98" s="15">
        <f>+U98+V98</f>
        <v>0</v>
      </c>
      <c r="X98" s="18">
        <v>0</v>
      </c>
      <c r="Y98" s="15">
        <f>+W98+X98</f>
        <v>0</v>
      </c>
      <c r="Z98" s="18">
        <v>0</v>
      </c>
      <c r="AA98" s="15">
        <f>+Y98+Z98</f>
        <v>0</v>
      </c>
      <c r="AB98" s="18">
        <v>0</v>
      </c>
      <c r="AC98" s="15">
        <f>+AA98+AB98</f>
        <v>0</v>
      </c>
    </row>
    <row r="99" spans="2:29" ht="15">
      <c r="B99" s="8">
        <v>2991</v>
      </c>
      <c r="C99" s="8" t="s">
        <v>207</v>
      </c>
      <c r="D99" s="58">
        <f>+PRESUPACUM!D99</f>
        <v>0</v>
      </c>
      <c r="E99" s="58">
        <f>+PRESUPACUM!E99</f>
        <v>0</v>
      </c>
      <c r="F99" s="18">
        <v>0</v>
      </c>
      <c r="G99" s="59">
        <f>+F99</f>
        <v>0</v>
      </c>
      <c r="H99" s="18">
        <v>0</v>
      </c>
      <c r="I99" s="15">
        <f>+G99+H99</f>
        <v>0</v>
      </c>
      <c r="J99" s="18">
        <v>0</v>
      </c>
      <c r="K99" s="15">
        <f>+I99+J99</f>
        <v>0</v>
      </c>
      <c r="L99" s="18">
        <v>0</v>
      </c>
      <c r="M99" s="15">
        <f>+K99+L99</f>
        <v>0</v>
      </c>
      <c r="N99" s="18">
        <v>0</v>
      </c>
      <c r="O99" s="15">
        <f>+M99+N99</f>
        <v>0</v>
      </c>
      <c r="P99" s="18">
        <v>0</v>
      </c>
      <c r="Q99" s="15">
        <f>+O99+P99</f>
        <v>0</v>
      </c>
      <c r="R99" s="18">
        <v>0</v>
      </c>
      <c r="S99" s="15">
        <f>+Q99+R99</f>
        <v>0</v>
      </c>
      <c r="T99" s="18">
        <v>0</v>
      </c>
      <c r="U99" s="15">
        <f>+S99+T99</f>
        <v>0</v>
      </c>
      <c r="V99" s="18">
        <v>0</v>
      </c>
      <c r="W99" s="15">
        <f>+U99+V99</f>
        <v>0</v>
      </c>
      <c r="X99" s="18">
        <v>0</v>
      </c>
      <c r="Y99" s="15">
        <f>+W99+X99</f>
        <v>0</v>
      </c>
      <c r="Z99" s="18">
        <v>0</v>
      </c>
      <c r="AA99" s="15">
        <f>+Y99+Z99</f>
        <v>0</v>
      </c>
      <c r="AB99" s="18">
        <v>0</v>
      </c>
      <c r="AC99" s="15">
        <f>+AA99+AB99</f>
        <v>0</v>
      </c>
    </row>
    <row r="100" spans="4:29" ht="15">
      <c r="D100" s="58"/>
      <c r="E100" s="58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</row>
    <row r="101" spans="2:29" ht="16.5" thickBot="1">
      <c r="B101" s="75">
        <v>3000</v>
      </c>
      <c r="C101" s="140" t="s">
        <v>42</v>
      </c>
      <c r="D101" s="62">
        <f aca="true" t="shared" si="67" ref="D101:AC101">+D103+D112+D117+D127+D134+D143+D148+D156+D162</f>
        <v>32502606.260000005</v>
      </c>
      <c r="E101" s="62">
        <f t="shared" si="67"/>
        <v>32473491.260000005</v>
      </c>
      <c r="F101" s="62">
        <f t="shared" si="67"/>
        <v>1013490.49</v>
      </c>
      <c r="G101" s="62">
        <f t="shared" si="67"/>
        <v>1013490.49</v>
      </c>
      <c r="H101" s="62">
        <f>+H103+H112+H117+H127+H134+H143+H148+H156+H162</f>
        <v>1081980.31</v>
      </c>
      <c r="I101" s="62">
        <f t="shared" si="67"/>
        <v>2095470.8000000003</v>
      </c>
      <c r="J101" s="62">
        <f>+J103+J112+J117+J127+J134+J143+J148+J156+J162</f>
        <v>1094268.21</v>
      </c>
      <c r="K101" s="62">
        <f t="shared" si="67"/>
        <v>3189739.01</v>
      </c>
      <c r="L101" s="62">
        <f t="shared" si="67"/>
        <v>0</v>
      </c>
      <c r="M101" s="62">
        <f t="shared" si="67"/>
        <v>3189739.01</v>
      </c>
      <c r="N101" s="62">
        <f>+N103+N112+N117+N127+N134+N143+N148+N156+N162</f>
        <v>0</v>
      </c>
      <c r="O101" s="62">
        <f t="shared" si="67"/>
        <v>3189739.01</v>
      </c>
      <c r="P101" s="62">
        <f>+P103+P112+P117+P127+P134+P143+P148+P156+P162</f>
        <v>0</v>
      </c>
      <c r="Q101" s="62">
        <f t="shared" si="67"/>
        <v>3189739.01</v>
      </c>
      <c r="R101" s="62">
        <f>+R103+R112+R117+R127+R134+R143+R148+R156+R162</f>
        <v>0</v>
      </c>
      <c r="S101" s="62">
        <f t="shared" si="67"/>
        <v>3189739.01</v>
      </c>
      <c r="T101" s="62">
        <f t="shared" si="67"/>
        <v>0</v>
      </c>
      <c r="U101" s="62">
        <f t="shared" si="67"/>
        <v>3189739.01</v>
      </c>
      <c r="V101" s="62">
        <f>+V103+V112+V117+V127+V134+V143+V148+V156+V162</f>
        <v>0</v>
      </c>
      <c r="W101" s="62">
        <f t="shared" si="67"/>
        <v>3189739.01</v>
      </c>
      <c r="X101" s="62">
        <f>+X103+X112+X117+X127+X134+X143+X148+X156+X162</f>
        <v>0</v>
      </c>
      <c r="Y101" s="62">
        <f t="shared" si="67"/>
        <v>3189739.01</v>
      </c>
      <c r="Z101" s="62">
        <f t="shared" si="67"/>
        <v>0</v>
      </c>
      <c r="AA101" s="62">
        <f t="shared" si="67"/>
        <v>3189739.01</v>
      </c>
      <c r="AB101" s="62">
        <f>+AB103+AB112+AB117+AB127+AB134+AB143+AB148+AB156+AB162</f>
        <v>0</v>
      </c>
      <c r="AC101" s="62">
        <f t="shared" si="67"/>
        <v>3189739.01</v>
      </c>
    </row>
    <row r="102" spans="2:29" ht="16.5" thickTop="1">
      <c r="B102" s="63"/>
      <c r="C102" s="79"/>
      <c r="D102" s="95"/>
      <c r="E102" s="95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</row>
    <row r="103" spans="2:29" ht="15.75">
      <c r="B103" s="80">
        <v>3100</v>
      </c>
      <c r="C103" s="67" t="s">
        <v>50</v>
      </c>
      <c r="D103" s="70">
        <f>SUM(D104:D110)</f>
        <v>3034740</v>
      </c>
      <c r="E103" s="70">
        <f>SUM(E104:E110)</f>
        <v>2949761.49</v>
      </c>
      <c r="F103" s="70">
        <f aca="true" t="shared" si="68" ref="F103:AC103">SUM(F104:F110)</f>
        <v>164162.28</v>
      </c>
      <c r="G103" s="70">
        <f t="shared" si="68"/>
        <v>164162.28</v>
      </c>
      <c r="H103" s="70">
        <f>SUM(H104:H110)</f>
        <v>133466.22999999998</v>
      </c>
      <c r="I103" s="70">
        <f t="shared" si="68"/>
        <v>297628.51</v>
      </c>
      <c r="J103" s="70">
        <f>SUM(J104:J110)</f>
        <v>119194.18000000001</v>
      </c>
      <c r="K103" s="70">
        <f t="shared" si="68"/>
        <v>416822.69000000006</v>
      </c>
      <c r="L103" s="70">
        <f t="shared" si="68"/>
        <v>0</v>
      </c>
      <c r="M103" s="70">
        <f t="shared" si="68"/>
        <v>416822.69000000006</v>
      </c>
      <c r="N103" s="70">
        <f>SUM(N104:N110)</f>
        <v>0</v>
      </c>
      <c r="O103" s="70">
        <f t="shared" si="68"/>
        <v>416822.69000000006</v>
      </c>
      <c r="P103" s="70">
        <f>SUM(P104:P110)</f>
        <v>0</v>
      </c>
      <c r="Q103" s="70">
        <f t="shared" si="68"/>
        <v>416822.69000000006</v>
      </c>
      <c r="R103" s="70">
        <f>SUM(R104:R110)</f>
        <v>0</v>
      </c>
      <c r="S103" s="70">
        <f t="shared" si="68"/>
        <v>416822.69000000006</v>
      </c>
      <c r="T103" s="70">
        <f t="shared" si="68"/>
        <v>0</v>
      </c>
      <c r="U103" s="70">
        <f t="shared" si="68"/>
        <v>416822.69000000006</v>
      </c>
      <c r="V103" s="70">
        <f>SUM(V104:V110)</f>
        <v>0</v>
      </c>
      <c r="W103" s="70">
        <f t="shared" si="68"/>
        <v>416822.69000000006</v>
      </c>
      <c r="X103" s="70">
        <f>SUM(X104:X110)</f>
        <v>0</v>
      </c>
      <c r="Y103" s="70">
        <f t="shared" si="68"/>
        <v>416822.69000000006</v>
      </c>
      <c r="Z103" s="70">
        <f t="shared" si="68"/>
        <v>0</v>
      </c>
      <c r="AA103" s="70">
        <f t="shared" si="68"/>
        <v>416822.69000000006</v>
      </c>
      <c r="AB103" s="70">
        <f>SUM(AB104:AB110)</f>
        <v>0</v>
      </c>
      <c r="AC103" s="70">
        <f t="shared" si="68"/>
        <v>416822.69000000006</v>
      </c>
    </row>
    <row r="104" spans="2:29" ht="15">
      <c r="B104" s="81">
        <v>3112</v>
      </c>
      <c r="C104" s="26" t="s">
        <v>135</v>
      </c>
      <c r="D104" s="93">
        <f>+PRESUPACUM!D104</f>
        <v>1700000</v>
      </c>
      <c r="E104" s="93">
        <f>+PRESUPACUM!E104</f>
        <v>1614975</v>
      </c>
      <c r="F104" s="17">
        <v>108333.33</v>
      </c>
      <c r="G104" s="59">
        <f aca="true" t="shared" si="69" ref="G104:G109">+F104</f>
        <v>108333.33</v>
      </c>
      <c r="H104" s="17">
        <v>53801</v>
      </c>
      <c r="I104" s="15">
        <f aca="true" t="shared" si="70" ref="I104:I109">+G104+H104</f>
        <v>162134.33000000002</v>
      </c>
      <c r="J104" s="17">
        <v>65111</v>
      </c>
      <c r="K104" s="15">
        <f aca="true" t="shared" si="71" ref="K104:K109">+I104+J104</f>
        <v>227245.33000000002</v>
      </c>
      <c r="L104" s="17">
        <v>0</v>
      </c>
      <c r="M104" s="15">
        <f aca="true" t="shared" si="72" ref="M104:M109">+K104+L104</f>
        <v>227245.33000000002</v>
      </c>
      <c r="N104" s="17">
        <v>0</v>
      </c>
      <c r="O104" s="15">
        <f aca="true" t="shared" si="73" ref="O104:O109">+M104+N104</f>
        <v>227245.33000000002</v>
      </c>
      <c r="P104" s="17">
        <v>0</v>
      </c>
      <c r="Q104" s="15">
        <f aca="true" t="shared" si="74" ref="Q104:Q109">+O104+P104</f>
        <v>227245.33000000002</v>
      </c>
      <c r="R104" s="17">
        <v>0</v>
      </c>
      <c r="S104" s="15">
        <f aca="true" t="shared" si="75" ref="S104:S109">+Q104+R104</f>
        <v>227245.33000000002</v>
      </c>
      <c r="T104" s="17">
        <v>0</v>
      </c>
      <c r="U104" s="15">
        <f aca="true" t="shared" si="76" ref="U104:U109">+S104+T104</f>
        <v>227245.33000000002</v>
      </c>
      <c r="V104" s="17">
        <v>0</v>
      </c>
      <c r="W104" s="15">
        <f aca="true" t="shared" si="77" ref="W104:W109">+U104+V104</f>
        <v>227245.33000000002</v>
      </c>
      <c r="X104" s="17">
        <v>0</v>
      </c>
      <c r="Y104" s="15">
        <f aca="true" t="shared" si="78" ref="Y104:Y109">+W104+X104</f>
        <v>227245.33000000002</v>
      </c>
      <c r="Z104" s="17">
        <v>0</v>
      </c>
      <c r="AA104" s="15">
        <f aca="true" t="shared" si="79" ref="AA104:AA109">+Y104+Z104</f>
        <v>227245.33000000002</v>
      </c>
      <c r="AB104" s="17">
        <v>0</v>
      </c>
      <c r="AC104" s="15">
        <f aca="true" t="shared" si="80" ref="AC104:AC109">+AA104+AB104</f>
        <v>227245.33000000002</v>
      </c>
    </row>
    <row r="105" spans="2:29" ht="15">
      <c r="B105" s="81">
        <v>3131</v>
      </c>
      <c r="C105" s="26" t="s">
        <v>136</v>
      </c>
      <c r="D105" s="93">
        <f>+PRESUPACUM!D105</f>
        <v>495000</v>
      </c>
      <c r="E105" s="93">
        <f>+PRESUPACUM!E105</f>
        <v>495000</v>
      </c>
      <c r="F105" s="17">
        <v>0</v>
      </c>
      <c r="G105" s="59">
        <f t="shared" si="69"/>
        <v>0</v>
      </c>
      <c r="H105" s="17">
        <v>25520</v>
      </c>
      <c r="I105" s="15">
        <f t="shared" si="70"/>
        <v>25520</v>
      </c>
      <c r="J105" s="17">
        <v>0</v>
      </c>
      <c r="K105" s="15">
        <f t="shared" si="71"/>
        <v>25520</v>
      </c>
      <c r="L105" s="17">
        <v>0</v>
      </c>
      <c r="M105" s="15">
        <f t="shared" si="72"/>
        <v>25520</v>
      </c>
      <c r="N105" s="17">
        <v>0</v>
      </c>
      <c r="O105" s="15">
        <f t="shared" si="73"/>
        <v>25520</v>
      </c>
      <c r="P105" s="17">
        <v>0</v>
      </c>
      <c r="Q105" s="15">
        <f t="shared" si="74"/>
        <v>25520</v>
      </c>
      <c r="R105" s="17">
        <v>0</v>
      </c>
      <c r="S105" s="15">
        <f t="shared" si="75"/>
        <v>25520</v>
      </c>
      <c r="T105" s="17">
        <v>0</v>
      </c>
      <c r="U105" s="15">
        <f t="shared" si="76"/>
        <v>25520</v>
      </c>
      <c r="V105" s="17">
        <v>0</v>
      </c>
      <c r="W105" s="15">
        <f t="shared" si="77"/>
        <v>25520</v>
      </c>
      <c r="X105" s="17">
        <v>0</v>
      </c>
      <c r="Y105" s="15">
        <f t="shared" si="78"/>
        <v>25520</v>
      </c>
      <c r="Z105" s="17">
        <v>0</v>
      </c>
      <c r="AA105" s="15">
        <f t="shared" si="79"/>
        <v>25520</v>
      </c>
      <c r="AB105" s="17">
        <v>0</v>
      </c>
      <c r="AC105" s="15">
        <f t="shared" si="80"/>
        <v>25520</v>
      </c>
    </row>
    <row r="106" spans="2:29" ht="15">
      <c r="B106" s="81">
        <v>3141</v>
      </c>
      <c r="C106" s="26" t="s">
        <v>134</v>
      </c>
      <c r="D106" s="94">
        <f>+PRESUPACUM!D106</f>
        <v>551200</v>
      </c>
      <c r="E106" s="94">
        <f>+PRESUPACUM!E106</f>
        <v>551199.99</v>
      </c>
      <c r="F106" s="72">
        <v>31999.99</v>
      </c>
      <c r="G106" s="59">
        <f t="shared" si="69"/>
        <v>31999.99</v>
      </c>
      <c r="H106" s="72">
        <v>30285.26</v>
      </c>
      <c r="I106" s="15">
        <f>+G106+H106</f>
        <v>62285.25</v>
      </c>
      <c r="J106" s="72">
        <v>30239.72</v>
      </c>
      <c r="K106" s="15">
        <f>+I106+J106</f>
        <v>92524.97</v>
      </c>
      <c r="L106" s="72">
        <v>0</v>
      </c>
      <c r="M106" s="15">
        <f>+K106+L106</f>
        <v>92524.97</v>
      </c>
      <c r="N106" s="72">
        <v>0</v>
      </c>
      <c r="O106" s="15">
        <f>+M106+N106</f>
        <v>92524.97</v>
      </c>
      <c r="P106" s="72">
        <v>0</v>
      </c>
      <c r="Q106" s="15">
        <f>+O106+P106</f>
        <v>92524.97</v>
      </c>
      <c r="R106" s="72">
        <v>0</v>
      </c>
      <c r="S106" s="15">
        <f>+Q106+R106</f>
        <v>92524.97</v>
      </c>
      <c r="T106" s="72">
        <v>0</v>
      </c>
      <c r="U106" s="15">
        <f>+S106+T106</f>
        <v>92524.97</v>
      </c>
      <c r="V106" s="72">
        <v>0</v>
      </c>
      <c r="W106" s="15">
        <f>+U106+V106</f>
        <v>92524.97</v>
      </c>
      <c r="X106" s="72">
        <v>0</v>
      </c>
      <c r="Y106" s="15">
        <f>+W106+X106</f>
        <v>92524.97</v>
      </c>
      <c r="Z106" s="72">
        <v>0</v>
      </c>
      <c r="AA106" s="15">
        <f t="shared" si="79"/>
        <v>92524.97</v>
      </c>
      <c r="AB106" s="72">
        <v>0</v>
      </c>
      <c r="AC106" s="15">
        <f t="shared" si="80"/>
        <v>92524.97</v>
      </c>
    </row>
    <row r="107" spans="2:29" ht="15">
      <c r="B107" s="82">
        <v>3151</v>
      </c>
      <c r="C107" s="8" t="s">
        <v>7</v>
      </c>
      <c r="D107" s="93">
        <f>+PRESUPACUM!D107</f>
        <v>0</v>
      </c>
      <c r="E107" s="93">
        <f>+PRESUPACUM!E107</f>
        <v>0</v>
      </c>
      <c r="F107" s="17">
        <v>0</v>
      </c>
      <c r="G107" s="59">
        <f t="shared" si="69"/>
        <v>0</v>
      </c>
      <c r="H107" s="17">
        <v>0</v>
      </c>
      <c r="I107" s="15">
        <f t="shared" si="70"/>
        <v>0</v>
      </c>
      <c r="J107" s="17">
        <v>0</v>
      </c>
      <c r="K107" s="15">
        <f t="shared" si="71"/>
        <v>0</v>
      </c>
      <c r="L107" s="17">
        <v>0</v>
      </c>
      <c r="M107" s="15">
        <f t="shared" si="72"/>
        <v>0</v>
      </c>
      <c r="N107" s="17">
        <v>0</v>
      </c>
      <c r="O107" s="15">
        <f t="shared" si="73"/>
        <v>0</v>
      </c>
      <c r="P107" s="17">
        <v>0</v>
      </c>
      <c r="Q107" s="15">
        <f t="shared" si="74"/>
        <v>0</v>
      </c>
      <c r="R107" s="17">
        <v>0</v>
      </c>
      <c r="S107" s="15">
        <f t="shared" si="75"/>
        <v>0</v>
      </c>
      <c r="T107" s="17">
        <v>0</v>
      </c>
      <c r="U107" s="15">
        <f t="shared" si="76"/>
        <v>0</v>
      </c>
      <c r="V107" s="17">
        <v>0</v>
      </c>
      <c r="W107" s="15">
        <f t="shared" si="77"/>
        <v>0</v>
      </c>
      <c r="X107" s="17">
        <v>0</v>
      </c>
      <c r="Y107" s="15">
        <f t="shared" si="78"/>
        <v>0</v>
      </c>
      <c r="Z107" s="17">
        <v>0</v>
      </c>
      <c r="AA107" s="15">
        <f t="shared" si="79"/>
        <v>0</v>
      </c>
      <c r="AB107" s="17">
        <v>0</v>
      </c>
      <c r="AC107" s="15">
        <f t="shared" si="80"/>
        <v>0</v>
      </c>
    </row>
    <row r="108" spans="2:29" ht="15">
      <c r="B108" s="78">
        <v>3161</v>
      </c>
      <c r="C108" s="8" t="s">
        <v>137</v>
      </c>
      <c r="D108" s="93">
        <f>+PRESUPACUM!D108</f>
        <v>19860</v>
      </c>
      <c r="E108" s="93">
        <f>+PRESUPACUM!E108</f>
        <v>19860</v>
      </c>
      <c r="F108" s="17">
        <v>1438.99</v>
      </c>
      <c r="G108" s="59">
        <f t="shared" si="69"/>
        <v>1438.99</v>
      </c>
      <c r="H108" s="17">
        <v>1438</v>
      </c>
      <c r="I108" s="15">
        <f t="shared" si="70"/>
        <v>2876.99</v>
      </c>
      <c r="J108" s="17">
        <v>1438.99</v>
      </c>
      <c r="K108" s="15">
        <f t="shared" si="71"/>
        <v>4315.98</v>
      </c>
      <c r="L108" s="17">
        <v>0</v>
      </c>
      <c r="M108" s="15">
        <f t="shared" si="72"/>
        <v>4315.98</v>
      </c>
      <c r="N108" s="17">
        <v>0</v>
      </c>
      <c r="O108" s="15">
        <f t="shared" si="73"/>
        <v>4315.98</v>
      </c>
      <c r="P108" s="17">
        <v>0</v>
      </c>
      <c r="Q108" s="15">
        <f t="shared" si="74"/>
        <v>4315.98</v>
      </c>
      <c r="R108" s="17">
        <v>0</v>
      </c>
      <c r="S108" s="15">
        <f t="shared" si="75"/>
        <v>4315.98</v>
      </c>
      <c r="T108" s="17">
        <v>0</v>
      </c>
      <c r="U108" s="15">
        <f t="shared" si="76"/>
        <v>4315.98</v>
      </c>
      <c r="V108" s="17">
        <v>0</v>
      </c>
      <c r="W108" s="15">
        <f t="shared" si="77"/>
        <v>4315.98</v>
      </c>
      <c r="X108" s="17">
        <v>0</v>
      </c>
      <c r="Y108" s="15">
        <f t="shared" si="78"/>
        <v>4315.98</v>
      </c>
      <c r="Z108" s="17">
        <v>0</v>
      </c>
      <c r="AA108" s="15">
        <f t="shared" si="79"/>
        <v>4315.98</v>
      </c>
      <c r="AB108" s="17">
        <v>0</v>
      </c>
      <c r="AC108" s="15">
        <f t="shared" si="80"/>
        <v>4315.98</v>
      </c>
    </row>
    <row r="109" spans="2:29" ht="15">
      <c r="B109" s="82">
        <v>3171</v>
      </c>
      <c r="C109" s="8" t="s">
        <v>139</v>
      </c>
      <c r="D109" s="93">
        <f>+PRESUPACUM!D109</f>
        <v>268680</v>
      </c>
      <c r="E109" s="93">
        <f>+PRESUPACUM!E109</f>
        <v>268680</v>
      </c>
      <c r="F109" s="17">
        <v>22389.97</v>
      </c>
      <c r="G109" s="59">
        <f t="shared" si="69"/>
        <v>22389.97</v>
      </c>
      <c r="H109" s="17">
        <v>22389.97</v>
      </c>
      <c r="I109" s="15">
        <f t="shared" si="70"/>
        <v>44779.94</v>
      </c>
      <c r="J109" s="17">
        <v>22389.97</v>
      </c>
      <c r="K109" s="15">
        <f t="shared" si="71"/>
        <v>67169.91</v>
      </c>
      <c r="L109" s="17">
        <v>0</v>
      </c>
      <c r="M109" s="15">
        <f t="shared" si="72"/>
        <v>67169.91</v>
      </c>
      <c r="N109" s="17">
        <v>0</v>
      </c>
      <c r="O109" s="15">
        <f t="shared" si="73"/>
        <v>67169.91</v>
      </c>
      <c r="P109" s="17">
        <v>0</v>
      </c>
      <c r="Q109" s="15">
        <f t="shared" si="74"/>
        <v>67169.91</v>
      </c>
      <c r="R109" s="17">
        <v>0</v>
      </c>
      <c r="S109" s="15">
        <f t="shared" si="75"/>
        <v>67169.91</v>
      </c>
      <c r="T109" s="17">
        <v>0</v>
      </c>
      <c r="U109" s="15">
        <f t="shared" si="76"/>
        <v>67169.91</v>
      </c>
      <c r="V109" s="17">
        <v>0</v>
      </c>
      <c r="W109" s="15">
        <f t="shared" si="77"/>
        <v>67169.91</v>
      </c>
      <c r="X109" s="17">
        <v>0</v>
      </c>
      <c r="Y109" s="15">
        <f t="shared" si="78"/>
        <v>67169.91</v>
      </c>
      <c r="Z109" s="17">
        <v>0</v>
      </c>
      <c r="AA109" s="15">
        <f t="shared" si="79"/>
        <v>67169.91</v>
      </c>
      <c r="AB109" s="17">
        <v>0</v>
      </c>
      <c r="AC109" s="15">
        <f t="shared" si="80"/>
        <v>67169.91</v>
      </c>
    </row>
    <row r="110" spans="2:29" ht="15">
      <c r="B110" s="81">
        <v>3181</v>
      </c>
      <c r="C110" s="26" t="s">
        <v>138</v>
      </c>
      <c r="D110" s="93">
        <f>+PRESUPACUM!D110</f>
        <v>0</v>
      </c>
      <c r="E110" s="93">
        <f>+PRESUPACUM!E110</f>
        <v>46.5</v>
      </c>
      <c r="F110" s="17">
        <v>0</v>
      </c>
      <c r="G110" s="59">
        <f>+F110</f>
        <v>0</v>
      </c>
      <c r="H110" s="17">
        <v>32</v>
      </c>
      <c r="I110" s="15">
        <f>+G110+H110</f>
        <v>32</v>
      </c>
      <c r="J110" s="17">
        <v>14.5</v>
      </c>
      <c r="K110" s="15">
        <f>+I110+J110</f>
        <v>46.5</v>
      </c>
      <c r="L110" s="17">
        <v>0</v>
      </c>
      <c r="M110" s="15">
        <f>+K110+L110</f>
        <v>46.5</v>
      </c>
      <c r="N110" s="17">
        <v>0</v>
      </c>
      <c r="O110" s="15">
        <f>+M110+N110</f>
        <v>46.5</v>
      </c>
      <c r="P110" s="17">
        <v>0</v>
      </c>
      <c r="Q110" s="15">
        <f>+O110+P110</f>
        <v>46.5</v>
      </c>
      <c r="R110" s="17">
        <v>0</v>
      </c>
      <c r="S110" s="15">
        <f>+Q110+R110</f>
        <v>46.5</v>
      </c>
      <c r="T110" s="17">
        <v>0</v>
      </c>
      <c r="U110" s="15">
        <f>+S110+T110</f>
        <v>46.5</v>
      </c>
      <c r="V110" s="17">
        <v>0</v>
      </c>
      <c r="W110" s="15">
        <f>+U110+V110</f>
        <v>46.5</v>
      </c>
      <c r="X110" s="17">
        <v>0</v>
      </c>
      <c r="Y110" s="15">
        <f>+W110+X110</f>
        <v>46.5</v>
      </c>
      <c r="Z110" s="17">
        <v>0</v>
      </c>
      <c r="AA110" s="15">
        <f>+Y110+Z110</f>
        <v>46.5</v>
      </c>
      <c r="AB110" s="17">
        <v>0</v>
      </c>
      <c r="AC110" s="15">
        <f>+AA110+AB110</f>
        <v>46.5</v>
      </c>
    </row>
    <row r="111" spans="4:29" ht="15">
      <c r="D111" s="58"/>
      <c r="E111" s="58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</row>
    <row r="112" spans="2:29" ht="15.75">
      <c r="B112" s="80">
        <v>3200</v>
      </c>
      <c r="C112" s="67" t="s">
        <v>149</v>
      </c>
      <c r="D112" s="70">
        <f>SUM(D113:D115)</f>
        <v>1192096.1700000002</v>
      </c>
      <c r="E112" s="70">
        <f>SUM(E113:E115)</f>
        <v>1192096.1800000002</v>
      </c>
      <c r="F112" s="70">
        <f aca="true" t="shared" si="81" ref="F112:AC112">SUM(F113:F115)</f>
        <v>48333.34</v>
      </c>
      <c r="G112" s="70">
        <f t="shared" si="81"/>
        <v>48333.34</v>
      </c>
      <c r="H112" s="70">
        <f>SUM(H113:H115)</f>
        <v>73555.02</v>
      </c>
      <c r="I112" s="70">
        <f t="shared" si="81"/>
        <v>121888.36</v>
      </c>
      <c r="J112" s="70">
        <f>SUM(J113:J115)</f>
        <v>0</v>
      </c>
      <c r="K112" s="70">
        <f t="shared" si="81"/>
        <v>121888.36</v>
      </c>
      <c r="L112" s="70">
        <f t="shared" si="81"/>
        <v>0</v>
      </c>
      <c r="M112" s="70">
        <f t="shared" si="81"/>
        <v>121888.36</v>
      </c>
      <c r="N112" s="70">
        <f>SUM(N113:N115)</f>
        <v>0</v>
      </c>
      <c r="O112" s="70">
        <f t="shared" si="81"/>
        <v>121888.36</v>
      </c>
      <c r="P112" s="70">
        <f>SUM(P113:P115)</f>
        <v>0</v>
      </c>
      <c r="Q112" s="70">
        <f t="shared" si="81"/>
        <v>121888.36</v>
      </c>
      <c r="R112" s="70">
        <f>SUM(R113:R115)</f>
        <v>0</v>
      </c>
      <c r="S112" s="70">
        <f t="shared" si="81"/>
        <v>121888.36</v>
      </c>
      <c r="T112" s="70">
        <f t="shared" si="81"/>
        <v>0</v>
      </c>
      <c r="U112" s="70">
        <f t="shared" si="81"/>
        <v>121888.36</v>
      </c>
      <c r="V112" s="70">
        <f>SUM(V113:V115)</f>
        <v>0</v>
      </c>
      <c r="W112" s="70">
        <f t="shared" si="81"/>
        <v>121888.36</v>
      </c>
      <c r="X112" s="70">
        <f>SUM(X113:X115)</f>
        <v>0</v>
      </c>
      <c r="Y112" s="70">
        <f t="shared" si="81"/>
        <v>121888.36</v>
      </c>
      <c r="Z112" s="70">
        <f t="shared" si="81"/>
        <v>0</v>
      </c>
      <c r="AA112" s="70">
        <f t="shared" si="81"/>
        <v>121888.36</v>
      </c>
      <c r="AB112" s="70">
        <f>SUM(AB113:AB115)</f>
        <v>0</v>
      </c>
      <c r="AC112" s="70">
        <f t="shared" si="81"/>
        <v>121888.36</v>
      </c>
    </row>
    <row r="113" spans="2:29" ht="15">
      <c r="B113" s="81">
        <v>3231</v>
      </c>
      <c r="C113" s="26" t="s">
        <v>191</v>
      </c>
      <c r="D113" s="58">
        <f>+PRESUPACUM!D113</f>
        <v>580000.0000000001</v>
      </c>
      <c r="E113" s="58">
        <f>+PRESUPACUM!E113</f>
        <v>580000.01</v>
      </c>
      <c r="F113" s="18">
        <v>48333.34</v>
      </c>
      <c r="G113" s="59">
        <f>+F113</f>
        <v>48333.34</v>
      </c>
      <c r="H113" s="18">
        <v>0</v>
      </c>
      <c r="I113" s="15">
        <f>+G113+H113</f>
        <v>48333.34</v>
      </c>
      <c r="J113" s="18">
        <v>0</v>
      </c>
      <c r="K113" s="15">
        <f>+I113+J113</f>
        <v>48333.34</v>
      </c>
      <c r="L113" s="18">
        <v>0</v>
      </c>
      <c r="M113" s="15">
        <f>+K113+L113</f>
        <v>48333.34</v>
      </c>
      <c r="N113" s="18">
        <v>0</v>
      </c>
      <c r="O113" s="15">
        <f>+M113+N113</f>
        <v>48333.34</v>
      </c>
      <c r="P113" s="18">
        <v>0</v>
      </c>
      <c r="Q113" s="15">
        <f>+O113+P113</f>
        <v>48333.34</v>
      </c>
      <c r="R113" s="18">
        <v>0</v>
      </c>
      <c r="S113" s="15">
        <f>+Q113+R113</f>
        <v>48333.34</v>
      </c>
      <c r="T113" s="18">
        <v>0</v>
      </c>
      <c r="U113" s="15">
        <f>+S113+T113</f>
        <v>48333.34</v>
      </c>
      <c r="V113" s="18">
        <v>0</v>
      </c>
      <c r="W113" s="15">
        <f>+U113+V113</f>
        <v>48333.34</v>
      </c>
      <c r="X113" s="18">
        <v>0</v>
      </c>
      <c r="Y113" s="15">
        <f>+W113+X113</f>
        <v>48333.34</v>
      </c>
      <c r="Z113" s="18">
        <v>0</v>
      </c>
      <c r="AA113" s="15">
        <f>+Y113+Z113</f>
        <v>48333.34</v>
      </c>
      <c r="AB113" s="18">
        <v>0</v>
      </c>
      <c r="AC113" s="15">
        <f>+AA113+AB113</f>
        <v>48333.34</v>
      </c>
    </row>
    <row r="114" spans="2:29" ht="15">
      <c r="B114" s="81">
        <v>3271</v>
      </c>
      <c r="C114" s="26" t="s">
        <v>245</v>
      </c>
      <c r="D114" s="58">
        <f>+PRESUPACUM!D114</f>
        <v>612096.17</v>
      </c>
      <c r="E114" s="58">
        <f>+PRESUPACUM!E114</f>
        <v>612096.17</v>
      </c>
      <c r="F114" s="18">
        <v>0</v>
      </c>
      <c r="G114" s="59">
        <f>+F114</f>
        <v>0</v>
      </c>
      <c r="H114" s="18">
        <v>73555.02</v>
      </c>
      <c r="I114" s="15">
        <f>+G114+H114</f>
        <v>73555.02</v>
      </c>
      <c r="J114" s="18">
        <v>0</v>
      </c>
      <c r="K114" s="15">
        <f>+I114+J114</f>
        <v>73555.02</v>
      </c>
      <c r="L114" s="18">
        <v>0</v>
      </c>
      <c r="M114" s="15">
        <f>+K114+L114</f>
        <v>73555.02</v>
      </c>
      <c r="N114" s="18">
        <v>0</v>
      </c>
      <c r="O114" s="15">
        <f>+M114+N114</f>
        <v>73555.02</v>
      </c>
      <c r="P114" s="18">
        <v>0</v>
      </c>
      <c r="Q114" s="15">
        <f>+O114+P114</f>
        <v>73555.02</v>
      </c>
      <c r="R114" s="18">
        <v>0</v>
      </c>
      <c r="S114" s="15">
        <f>+Q114+R114</f>
        <v>73555.02</v>
      </c>
      <c r="T114" s="18">
        <v>0</v>
      </c>
      <c r="U114" s="15">
        <f>+S114+T114</f>
        <v>73555.02</v>
      </c>
      <c r="V114" s="18">
        <v>0</v>
      </c>
      <c r="W114" s="15">
        <f>+U114+V114</f>
        <v>73555.02</v>
      </c>
      <c r="X114" s="18">
        <v>0</v>
      </c>
      <c r="Y114" s="15">
        <f>+W114+X114</f>
        <v>73555.02</v>
      </c>
      <c r="Z114" s="18">
        <v>0</v>
      </c>
      <c r="AA114" s="15">
        <f>+Y114+Z114</f>
        <v>73555.02</v>
      </c>
      <c r="AB114" s="18">
        <v>0</v>
      </c>
      <c r="AC114" s="15">
        <f>+AA114+AB114</f>
        <v>73555.02</v>
      </c>
    </row>
    <row r="115" spans="2:29" ht="15">
      <c r="B115" s="82">
        <v>3291</v>
      </c>
      <c r="C115" s="8" t="s">
        <v>27</v>
      </c>
      <c r="D115" s="58">
        <f>+PRESUPACUM!D115</f>
        <v>0</v>
      </c>
      <c r="E115" s="58">
        <f>+PRESUPACUM!E115</f>
        <v>0</v>
      </c>
      <c r="F115" s="18">
        <v>0</v>
      </c>
      <c r="G115" s="59">
        <f>+F115</f>
        <v>0</v>
      </c>
      <c r="H115" s="18">
        <v>0</v>
      </c>
      <c r="I115" s="15">
        <f>+G115+H115</f>
        <v>0</v>
      </c>
      <c r="J115" s="18">
        <v>0</v>
      </c>
      <c r="K115" s="15">
        <f>+I115+J115</f>
        <v>0</v>
      </c>
      <c r="L115" s="18">
        <v>0</v>
      </c>
      <c r="M115" s="15">
        <f>+K115+L115</f>
        <v>0</v>
      </c>
      <c r="N115" s="18">
        <v>0</v>
      </c>
      <c r="O115" s="15">
        <f>+M115+N115</f>
        <v>0</v>
      </c>
      <c r="P115" s="18">
        <v>0</v>
      </c>
      <c r="Q115" s="15">
        <f>+O115+P115</f>
        <v>0</v>
      </c>
      <c r="R115" s="18">
        <v>0</v>
      </c>
      <c r="S115" s="15">
        <f>+Q115+R115</f>
        <v>0</v>
      </c>
      <c r="T115" s="18">
        <v>0</v>
      </c>
      <c r="U115" s="15">
        <f>+S115+T115</f>
        <v>0</v>
      </c>
      <c r="V115" s="18">
        <v>0</v>
      </c>
      <c r="W115" s="15">
        <f>+U115+V115</f>
        <v>0</v>
      </c>
      <c r="X115" s="18">
        <v>0</v>
      </c>
      <c r="Y115" s="15">
        <f>+W115+X115</f>
        <v>0</v>
      </c>
      <c r="Z115" s="18">
        <v>0</v>
      </c>
      <c r="AA115" s="15">
        <f>+Y115+Z115</f>
        <v>0</v>
      </c>
      <c r="AB115" s="18">
        <v>0</v>
      </c>
      <c r="AC115" s="15">
        <f>+AA115+AB115</f>
        <v>0</v>
      </c>
    </row>
    <row r="116" spans="4:29" ht="15">
      <c r="D116" s="58"/>
      <c r="E116" s="58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</row>
    <row r="117" spans="2:29" ht="15.75">
      <c r="B117" s="16">
        <v>3300</v>
      </c>
      <c r="C117" s="77" t="s">
        <v>189</v>
      </c>
      <c r="D117" s="92">
        <f>SUM(D118:D125)</f>
        <v>9770466.23</v>
      </c>
      <c r="E117" s="92">
        <f>SUM(E118:E125)</f>
        <v>9729187.23</v>
      </c>
      <c r="F117" s="92">
        <f aca="true" t="shared" si="82" ref="F117:AC117">SUM(F118:F125)</f>
        <v>113165.98999999999</v>
      </c>
      <c r="G117" s="92">
        <f t="shared" si="82"/>
        <v>113165.98999999999</v>
      </c>
      <c r="H117" s="92">
        <f>SUM(H118:H125)</f>
        <v>110354.08</v>
      </c>
      <c r="I117" s="92">
        <f t="shared" si="82"/>
        <v>223520.07</v>
      </c>
      <c r="J117" s="92">
        <f>SUM(J118:J125)</f>
        <v>123786.2</v>
      </c>
      <c r="K117" s="92">
        <f t="shared" si="82"/>
        <v>347306.27</v>
      </c>
      <c r="L117" s="92">
        <f t="shared" si="82"/>
        <v>0</v>
      </c>
      <c r="M117" s="92">
        <f t="shared" si="82"/>
        <v>347306.27</v>
      </c>
      <c r="N117" s="92">
        <f>SUM(N118:N125)</f>
        <v>0</v>
      </c>
      <c r="O117" s="92">
        <f t="shared" si="82"/>
        <v>347306.27</v>
      </c>
      <c r="P117" s="92">
        <f>SUM(P118:P125)</f>
        <v>0</v>
      </c>
      <c r="Q117" s="92">
        <f t="shared" si="82"/>
        <v>347306.27</v>
      </c>
      <c r="R117" s="92">
        <f>SUM(R118:R125)</f>
        <v>0</v>
      </c>
      <c r="S117" s="92">
        <f t="shared" si="82"/>
        <v>347306.27</v>
      </c>
      <c r="T117" s="92">
        <f t="shared" si="82"/>
        <v>0</v>
      </c>
      <c r="U117" s="92">
        <f t="shared" si="82"/>
        <v>347306.27</v>
      </c>
      <c r="V117" s="92">
        <f>SUM(V118:V125)</f>
        <v>0</v>
      </c>
      <c r="W117" s="92">
        <f t="shared" si="82"/>
        <v>347306.27</v>
      </c>
      <c r="X117" s="92">
        <f>SUM(X118:X125)</f>
        <v>0</v>
      </c>
      <c r="Y117" s="92">
        <f t="shared" si="82"/>
        <v>347306.27</v>
      </c>
      <c r="Z117" s="92">
        <f t="shared" si="82"/>
        <v>0</v>
      </c>
      <c r="AA117" s="92">
        <f t="shared" si="82"/>
        <v>347306.27</v>
      </c>
      <c r="AB117" s="92">
        <f>SUM(AB118:AB125)</f>
        <v>0</v>
      </c>
      <c r="AC117" s="92">
        <f t="shared" si="82"/>
        <v>347306.27</v>
      </c>
    </row>
    <row r="118" spans="2:29" ht="15">
      <c r="B118" s="8">
        <v>3311</v>
      </c>
      <c r="C118" s="8" t="s">
        <v>140</v>
      </c>
      <c r="D118" s="58">
        <f>+PRESUPACUM!D118</f>
        <v>236813.5</v>
      </c>
      <c r="E118" s="58">
        <f>+PRESUPACUM!E118</f>
        <v>222613.5</v>
      </c>
      <c r="F118" s="18">
        <v>0</v>
      </c>
      <c r="G118" s="59">
        <f aca="true" t="shared" si="83" ref="G118:G125">+F118</f>
        <v>0</v>
      </c>
      <c r="H118" s="18">
        <v>0</v>
      </c>
      <c r="I118" s="15">
        <f aca="true" t="shared" si="84" ref="I118:I125">+G118+H118</f>
        <v>0</v>
      </c>
      <c r="J118" s="18">
        <v>0</v>
      </c>
      <c r="K118" s="15">
        <f aca="true" t="shared" si="85" ref="K118:K125">+I118+J118</f>
        <v>0</v>
      </c>
      <c r="L118" s="18">
        <v>0</v>
      </c>
      <c r="M118" s="15">
        <f aca="true" t="shared" si="86" ref="M118:M125">+K118+L118</f>
        <v>0</v>
      </c>
      <c r="N118" s="18">
        <v>0</v>
      </c>
      <c r="O118" s="15">
        <f aca="true" t="shared" si="87" ref="O118:O125">+M118+N118</f>
        <v>0</v>
      </c>
      <c r="P118" s="18">
        <v>0</v>
      </c>
      <c r="Q118" s="15">
        <f aca="true" t="shared" si="88" ref="Q118:Q125">+O118+P118</f>
        <v>0</v>
      </c>
      <c r="R118" s="18">
        <v>0</v>
      </c>
      <c r="S118" s="15">
        <f aca="true" t="shared" si="89" ref="S118:S125">+Q118+R118</f>
        <v>0</v>
      </c>
      <c r="T118" s="18">
        <v>0</v>
      </c>
      <c r="U118" s="15">
        <f aca="true" t="shared" si="90" ref="U118:U125">+S118+T118</f>
        <v>0</v>
      </c>
      <c r="V118" s="18">
        <v>0</v>
      </c>
      <c r="W118" s="15">
        <f aca="true" t="shared" si="91" ref="W118:W125">+U118+V118</f>
        <v>0</v>
      </c>
      <c r="X118" s="18">
        <v>0</v>
      </c>
      <c r="Y118" s="15">
        <f aca="true" t="shared" si="92" ref="Y118:Y125">+W118+X118</f>
        <v>0</v>
      </c>
      <c r="Z118" s="18">
        <v>0</v>
      </c>
      <c r="AA118" s="15">
        <f aca="true" t="shared" si="93" ref="AA118:AA125">+Y118+Z118</f>
        <v>0</v>
      </c>
      <c r="AB118" s="18">
        <v>0</v>
      </c>
      <c r="AC118" s="15">
        <f aca="true" t="shared" si="94" ref="AC118:AC125">+AA118+AB118</f>
        <v>0</v>
      </c>
    </row>
    <row r="119" spans="2:29" ht="15">
      <c r="B119" s="8">
        <v>3331</v>
      </c>
      <c r="C119" s="8" t="s">
        <v>141</v>
      </c>
      <c r="D119" s="58">
        <f>+PRESUPACUM!D119</f>
        <v>1504740.56</v>
      </c>
      <c r="E119" s="58">
        <f>+PRESUPACUM!E119</f>
        <v>1504740.56</v>
      </c>
      <c r="F119" s="18">
        <v>15209.72</v>
      </c>
      <c r="G119" s="59">
        <f t="shared" si="83"/>
        <v>15209.72</v>
      </c>
      <c r="H119" s="18">
        <v>15209.72</v>
      </c>
      <c r="I119" s="15">
        <f t="shared" si="84"/>
        <v>30419.44</v>
      </c>
      <c r="J119" s="18">
        <f>15209.72-4720.26</f>
        <v>10489.46</v>
      </c>
      <c r="K119" s="15">
        <f t="shared" si="85"/>
        <v>40908.899999999994</v>
      </c>
      <c r="L119" s="18">
        <v>0</v>
      </c>
      <c r="M119" s="15">
        <f t="shared" si="86"/>
        <v>40908.899999999994</v>
      </c>
      <c r="N119" s="18">
        <v>0</v>
      </c>
      <c r="O119" s="15">
        <f t="shared" si="87"/>
        <v>40908.899999999994</v>
      </c>
      <c r="P119" s="18">
        <v>0</v>
      </c>
      <c r="Q119" s="15">
        <f t="shared" si="88"/>
        <v>40908.899999999994</v>
      </c>
      <c r="R119" s="18">
        <v>0</v>
      </c>
      <c r="S119" s="15">
        <f t="shared" si="89"/>
        <v>40908.899999999994</v>
      </c>
      <c r="T119" s="18">
        <v>0</v>
      </c>
      <c r="U119" s="15">
        <f t="shared" si="90"/>
        <v>40908.899999999994</v>
      </c>
      <c r="V119" s="18">
        <v>0</v>
      </c>
      <c r="W119" s="15">
        <f t="shared" si="91"/>
        <v>40908.899999999994</v>
      </c>
      <c r="X119" s="18">
        <v>0</v>
      </c>
      <c r="Y119" s="15">
        <f t="shared" si="92"/>
        <v>40908.899999999994</v>
      </c>
      <c r="Z119" s="18">
        <v>0</v>
      </c>
      <c r="AA119" s="15">
        <f t="shared" si="93"/>
        <v>40908.899999999994</v>
      </c>
      <c r="AB119" s="18">
        <v>0</v>
      </c>
      <c r="AC119" s="15">
        <f t="shared" si="94"/>
        <v>40908.899999999994</v>
      </c>
    </row>
    <row r="120" spans="2:29" ht="15">
      <c r="B120" s="8">
        <v>3341</v>
      </c>
      <c r="C120" s="8" t="s">
        <v>142</v>
      </c>
      <c r="D120" s="58">
        <f>+PRESUPACUM!D120</f>
        <v>5593484.09</v>
      </c>
      <c r="E120" s="58">
        <f>+PRESUPACUM!E120</f>
        <v>5577484.09</v>
      </c>
      <c r="F120" s="18">
        <v>0</v>
      </c>
      <c r="G120" s="59">
        <f t="shared" si="83"/>
        <v>0</v>
      </c>
      <c r="H120" s="18">
        <v>0</v>
      </c>
      <c r="I120" s="15">
        <f t="shared" si="84"/>
        <v>0</v>
      </c>
      <c r="J120" s="18">
        <v>0</v>
      </c>
      <c r="K120" s="15">
        <f t="shared" si="85"/>
        <v>0</v>
      </c>
      <c r="L120" s="18">
        <v>0</v>
      </c>
      <c r="M120" s="15">
        <f t="shared" si="86"/>
        <v>0</v>
      </c>
      <c r="N120" s="18">
        <v>0</v>
      </c>
      <c r="O120" s="15">
        <f t="shared" si="87"/>
        <v>0</v>
      </c>
      <c r="P120" s="18">
        <v>0</v>
      </c>
      <c r="Q120" s="15">
        <f t="shared" si="88"/>
        <v>0</v>
      </c>
      <c r="R120" s="18">
        <v>0</v>
      </c>
      <c r="S120" s="15">
        <f t="shared" si="89"/>
        <v>0</v>
      </c>
      <c r="T120" s="18">
        <v>0</v>
      </c>
      <c r="U120" s="15">
        <f t="shared" si="90"/>
        <v>0</v>
      </c>
      <c r="V120" s="18">
        <v>0</v>
      </c>
      <c r="W120" s="15">
        <f t="shared" si="91"/>
        <v>0</v>
      </c>
      <c r="X120" s="18">
        <v>0</v>
      </c>
      <c r="Y120" s="15">
        <f t="shared" si="92"/>
        <v>0</v>
      </c>
      <c r="Z120" s="18">
        <v>0</v>
      </c>
      <c r="AA120" s="15">
        <f t="shared" si="93"/>
        <v>0</v>
      </c>
      <c r="AB120" s="18">
        <v>0</v>
      </c>
      <c r="AC120" s="15">
        <f t="shared" si="94"/>
        <v>0</v>
      </c>
    </row>
    <row r="121" spans="2:29" ht="15">
      <c r="B121" s="8">
        <v>3351</v>
      </c>
      <c r="C121" s="8" t="s">
        <v>143</v>
      </c>
      <c r="D121" s="58">
        <f>+PRESUPACUM!D121</f>
        <v>0</v>
      </c>
      <c r="E121" s="58">
        <f>+PRESUPACUM!E121</f>
        <v>0</v>
      </c>
      <c r="F121" s="18">
        <v>0</v>
      </c>
      <c r="G121" s="59">
        <f t="shared" si="83"/>
        <v>0</v>
      </c>
      <c r="H121" s="18">
        <v>0</v>
      </c>
      <c r="I121" s="15">
        <f t="shared" si="84"/>
        <v>0</v>
      </c>
      <c r="J121" s="18">
        <v>0</v>
      </c>
      <c r="K121" s="15">
        <f t="shared" si="85"/>
        <v>0</v>
      </c>
      <c r="L121" s="18">
        <v>0</v>
      </c>
      <c r="M121" s="15">
        <f t="shared" si="86"/>
        <v>0</v>
      </c>
      <c r="N121" s="18">
        <v>0</v>
      </c>
      <c r="O121" s="15">
        <f t="shared" si="87"/>
        <v>0</v>
      </c>
      <c r="P121" s="18">
        <v>0</v>
      </c>
      <c r="Q121" s="15">
        <f t="shared" si="88"/>
        <v>0</v>
      </c>
      <c r="R121" s="18">
        <v>0</v>
      </c>
      <c r="S121" s="15">
        <f t="shared" si="89"/>
        <v>0</v>
      </c>
      <c r="T121" s="18">
        <v>0</v>
      </c>
      <c r="U121" s="15">
        <f t="shared" si="90"/>
        <v>0</v>
      </c>
      <c r="V121" s="18">
        <v>0</v>
      </c>
      <c r="W121" s="15">
        <f t="shared" si="91"/>
        <v>0</v>
      </c>
      <c r="X121" s="18">
        <v>0</v>
      </c>
      <c r="Y121" s="15">
        <f t="shared" si="92"/>
        <v>0</v>
      </c>
      <c r="Z121" s="18">
        <v>0</v>
      </c>
      <c r="AA121" s="15">
        <f t="shared" si="93"/>
        <v>0</v>
      </c>
      <c r="AB121" s="18">
        <v>0</v>
      </c>
      <c r="AC121" s="15">
        <f t="shared" si="94"/>
        <v>0</v>
      </c>
    </row>
    <row r="122" spans="2:29" ht="15">
      <c r="B122" s="8">
        <v>3361</v>
      </c>
      <c r="C122" s="8" t="s">
        <v>144</v>
      </c>
      <c r="D122" s="58">
        <f>+PRESUPACUM!D122</f>
        <v>150000</v>
      </c>
      <c r="E122" s="58">
        <f>+PRESUPACUM!E122</f>
        <v>150696</v>
      </c>
      <c r="F122" s="18">
        <v>3884.91</v>
      </c>
      <c r="G122" s="59">
        <f t="shared" si="83"/>
        <v>3884.91</v>
      </c>
      <c r="H122" s="18">
        <v>5471.72</v>
      </c>
      <c r="I122" s="15">
        <f t="shared" si="84"/>
        <v>9356.630000000001</v>
      </c>
      <c r="J122" s="18">
        <v>5073.38</v>
      </c>
      <c r="K122" s="15">
        <f t="shared" si="85"/>
        <v>14430.010000000002</v>
      </c>
      <c r="L122" s="18">
        <v>0</v>
      </c>
      <c r="M122" s="15">
        <f t="shared" si="86"/>
        <v>14430.010000000002</v>
      </c>
      <c r="N122" s="18">
        <v>0</v>
      </c>
      <c r="O122" s="15">
        <f t="shared" si="87"/>
        <v>14430.010000000002</v>
      </c>
      <c r="P122" s="18">
        <v>0</v>
      </c>
      <c r="Q122" s="15">
        <f t="shared" si="88"/>
        <v>14430.010000000002</v>
      </c>
      <c r="R122" s="18">
        <v>0</v>
      </c>
      <c r="S122" s="15">
        <f t="shared" si="89"/>
        <v>14430.010000000002</v>
      </c>
      <c r="T122" s="18">
        <v>0</v>
      </c>
      <c r="U122" s="15">
        <f t="shared" si="90"/>
        <v>14430.010000000002</v>
      </c>
      <c r="V122" s="18">
        <v>0</v>
      </c>
      <c r="W122" s="15">
        <f t="shared" si="91"/>
        <v>14430.010000000002</v>
      </c>
      <c r="X122" s="18">
        <v>0</v>
      </c>
      <c r="Y122" s="15">
        <f t="shared" si="92"/>
        <v>14430.010000000002</v>
      </c>
      <c r="Z122" s="18">
        <v>0</v>
      </c>
      <c r="AA122" s="15">
        <f t="shared" si="93"/>
        <v>14430.010000000002</v>
      </c>
      <c r="AB122" s="18">
        <v>0</v>
      </c>
      <c r="AC122" s="15">
        <f t="shared" si="94"/>
        <v>14430.010000000002</v>
      </c>
    </row>
    <row r="123" spans="2:29" ht="15">
      <c r="B123" s="8">
        <v>3362</v>
      </c>
      <c r="C123" s="8" t="s">
        <v>240</v>
      </c>
      <c r="D123" s="58">
        <f>+PRESUPACUM!D123</f>
        <v>1035948</v>
      </c>
      <c r="E123" s="58">
        <f>+PRESUPACUM!E123</f>
        <v>1018173</v>
      </c>
      <c r="F123" s="18">
        <v>0</v>
      </c>
      <c r="G123" s="59">
        <f>+F123</f>
        <v>0</v>
      </c>
      <c r="H123" s="18">
        <v>1670.4</v>
      </c>
      <c r="I123" s="15">
        <f>+G123+H123</f>
        <v>1670.4</v>
      </c>
      <c r="J123" s="18">
        <v>14152</v>
      </c>
      <c r="K123" s="15">
        <f>+I123+J123</f>
        <v>15822.4</v>
      </c>
      <c r="L123" s="18">
        <v>0</v>
      </c>
      <c r="M123" s="15">
        <f>+K123+L123</f>
        <v>15822.4</v>
      </c>
      <c r="N123" s="18">
        <v>0</v>
      </c>
      <c r="O123" s="15">
        <f>+M123+N123</f>
        <v>15822.4</v>
      </c>
      <c r="P123" s="18">
        <v>0</v>
      </c>
      <c r="Q123" s="15">
        <f>+O123+P123</f>
        <v>15822.4</v>
      </c>
      <c r="R123" s="18">
        <v>0</v>
      </c>
      <c r="S123" s="15">
        <f>+Q123+R123</f>
        <v>15822.4</v>
      </c>
      <c r="T123" s="18">
        <v>0</v>
      </c>
      <c r="U123" s="15">
        <f>+S123+T123</f>
        <v>15822.4</v>
      </c>
      <c r="V123" s="18">
        <v>0</v>
      </c>
      <c r="W123" s="15">
        <f>+U123+V123</f>
        <v>15822.4</v>
      </c>
      <c r="X123" s="18">
        <v>0</v>
      </c>
      <c r="Y123" s="15">
        <f>+W123+X123</f>
        <v>15822.4</v>
      </c>
      <c r="Z123" s="18">
        <v>0</v>
      </c>
      <c r="AA123" s="15">
        <f>+Y123+Z123</f>
        <v>15822.4</v>
      </c>
      <c r="AB123" s="18">
        <v>0</v>
      </c>
      <c r="AC123" s="15">
        <f>+AA123+AB123</f>
        <v>15822.4</v>
      </c>
    </row>
    <row r="124" spans="2:29" ht="15">
      <c r="B124" s="8">
        <v>3381</v>
      </c>
      <c r="C124" s="8" t="s">
        <v>145</v>
      </c>
      <c r="D124" s="58">
        <f>+PRESUPACUM!D124</f>
        <v>1249480.0799999998</v>
      </c>
      <c r="E124" s="58">
        <f>+PRESUPACUM!E124</f>
        <v>1249480.0799999998</v>
      </c>
      <c r="F124" s="18">
        <v>94071.36</v>
      </c>
      <c r="G124" s="59">
        <f t="shared" si="83"/>
        <v>94071.36</v>
      </c>
      <c r="H124" s="18">
        <v>88002.24</v>
      </c>
      <c r="I124" s="15">
        <f t="shared" si="84"/>
        <v>182073.6</v>
      </c>
      <c r="J124" s="18">
        <v>94071.36</v>
      </c>
      <c r="K124" s="15">
        <f t="shared" si="85"/>
        <v>276144.96</v>
      </c>
      <c r="L124" s="18">
        <v>0</v>
      </c>
      <c r="M124" s="15">
        <f t="shared" si="86"/>
        <v>276144.96</v>
      </c>
      <c r="N124" s="18">
        <v>0</v>
      </c>
      <c r="O124" s="15">
        <f t="shared" si="87"/>
        <v>276144.96</v>
      </c>
      <c r="P124" s="18">
        <v>0</v>
      </c>
      <c r="Q124" s="15">
        <f t="shared" si="88"/>
        <v>276144.96</v>
      </c>
      <c r="R124" s="18">
        <v>0</v>
      </c>
      <c r="S124" s="15">
        <f t="shared" si="89"/>
        <v>276144.96</v>
      </c>
      <c r="T124" s="18">
        <v>0</v>
      </c>
      <c r="U124" s="15">
        <f t="shared" si="90"/>
        <v>276144.96</v>
      </c>
      <c r="V124" s="18">
        <v>0</v>
      </c>
      <c r="W124" s="15">
        <f t="shared" si="91"/>
        <v>276144.96</v>
      </c>
      <c r="X124" s="18">
        <v>0</v>
      </c>
      <c r="Y124" s="15">
        <f t="shared" si="92"/>
        <v>276144.96</v>
      </c>
      <c r="Z124" s="18">
        <v>0</v>
      </c>
      <c r="AA124" s="15">
        <f t="shared" si="93"/>
        <v>276144.96</v>
      </c>
      <c r="AB124" s="18">
        <v>0</v>
      </c>
      <c r="AC124" s="15">
        <f t="shared" si="94"/>
        <v>276144.96</v>
      </c>
    </row>
    <row r="125" spans="2:29" ht="15">
      <c r="B125" s="8">
        <v>3391</v>
      </c>
      <c r="C125" s="8" t="s">
        <v>146</v>
      </c>
      <c r="D125" s="58">
        <f>+PRESUPACUM!D125</f>
        <v>0</v>
      </c>
      <c r="E125" s="58">
        <f>+PRESUPACUM!E125</f>
        <v>6000</v>
      </c>
      <c r="F125" s="18">
        <v>0</v>
      </c>
      <c r="G125" s="59">
        <f t="shared" si="83"/>
        <v>0</v>
      </c>
      <c r="H125" s="18">
        <v>0</v>
      </c>
      <c r="I125" s="15">
        <f t="shared" si="84"/>
        <v>0</v>
      </c>
      <c r="J125" s="18">
        <v>0</v>
      </c>
      <c r="K125" s="15">
        <f t="shared" si="85"/>
        <v>0</v>
      </c>
      <c r="L125" s="18">
        <v>0</v>
      </c>
      <c r="M125" s="15">
        <f t="shared" si="86"/>
        <v>0</v>
      </c>
      <c r="N125" s="18">
        <v>0</v>
      </c>
      <c r="O125" s="15">
        <f t="shared" si="87"/>
        <v>0</v>
      </c>
      <c r="P125" s="18">
        <v>0</v>
      </c>
      <c r="Q125" s="15">
        <f t="shared" si="88"/>
        <v>0</v>
      </c>
      <c r="R125" s="18">
        <v>0</v>
      </c>
      <c r="S125" s="15">
        <f t="shared" si="89"/>
        <v>0</v>
      </c>
      <c r="T125" s="18">
        <v>0</v>
      </c>
      <c r="U125" s="15">
        <f t="shared" si="90"/>
        <v>0</v>
      </c>
      <c r="V125" s="18">
        <v>0</v>
      </c>
      <c r="W125" s="15">
        <f t="shared" si="91"/>
        <v>0</v>
      </c>
      <c r="X125" s="18">
        <v>0</v>
      </c>
      <c r="Y125" s="15">
        <f t="shared" si="92"/>
        <v>0</v>
      </c>
      <c r="Z125" s="18">
        <v>0</v>
      </c>
      <c r="AA125" s="15">
        <f t="shared" si="93"/>
        <v>0</v>
      </c>
      <c r="AB125" s="18">
        <v>0</v>
      </c>
      <c r="AC125" s="15">
        <f t="shared" si="94"/>
        <v>0</v>
      </c>
    </row>
    <row r="126" spans="4:29" ht="15">
      <c r="D126" s="58"/>
      <c r="E126" s="58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</row>
    <row r="127" spans="2:29" ht="15.75">
      <c r="B127" s="69">
        <v>3400</v>
      </c>
      <c r="C127" s="67" t="s">
        <v>190</v>
      </c>
      <c r="D127" s="92">
        <f>SUM(D128:D132)</f>
        <v>368971.64</v>
      </c>
      <c r="E127" s="92">
        <f>SUM(E128:E132)</f>
        <v>370971.64</v>
      </c>
      <c r="F127" s="92">
        <f aca="true" t="shared" si="95" ref="F127:AC127">SUM(F128:F132)</f>
        <v>26253.84</v>
      </c>
      <c r="G127" s="92">
        <f t="shared" si="95"/>
        <v>26253.84</v>
      </c>
      <c r="H127" s="92">
        <f>SUM(H128:H132)</f>
        <v>26192.8</v>
      </c>
      <c r="I127" s="92">
        <f t="shared" si="95"/>
        <v>52446.64000000001</v>
      </c>
      <c r="J127" s="92">
        <f>SUM(J128:J132)</f>
        <v>26185.550000000003</v>
      </c>
      <c r="K127" s="92">
        <f t="shared" si="95"/>
        <v>78632.19</v>
      </c>
      <c r="L127" s="92">
        <f t="shared" si="95"/>
        <v>0</v>
      </c>
      <c r="M127" s="92">
        <f t="shared" si="95"/>
        <v>78632.19</v>
      </c>
      <c r="N127" s="92">
        <f>SUM(N128:N132)</f>
        <v>0</v>
      </c>
      <c r="O127" s="92">
        <f t="shared" si="95"/>
        <v>78632.19</v>
      </c>
      <c r="P127" s="92">
        <f>SUM(P128:P132)</f>
        <v>0</v>
      </c>
      <c r="Q127" s="92">
        <f t="shared" si="95"/>
        <v>78632.19</v>
      </c>
      <c r="R127" s="92">
        <f>SUM(R128:R132)</f>
        <v>0</v>
      </c>
      <c r="S127" s="92">
        <f t="shared" si="95"/>
        <v>78632.19</v>
      </c>
      <c r="T127" s="92">
        <f t="shared" si="95"/>
        <v>0</v>
      </c>
      <c r="U127" s="92">
        <f t="shared" si="95"/>
        <v>78632.19</v>
      </c>
      <c r="V127" s="92">
        <f>SUM(V128:V132)</f>
        <v>0</v>
      </c>
      <c r="W127" s="92">
        <f t="shared" si="95"/>
        <v>78632.19</v>
      </c>
      <c r="X127" s="92">
        <f>SUM(X128:X132)</f>
        <v>0</v>
      </c>
      <c r="Y127" s="92">
        <f t="shared" si="95"/>
        <v>78632.19</v>
      </c>
      <c r="Z127" s="92">
        <f t="shared" si="95"/>
        <v>0</v>
      </c>
      <c r="AA127" s="92">
        <f t="shared" si="95"/>
        <v>78632.19</v>
      </c>
      <c r="AB127" s="92">
        <f>SUM(AB128:AB132)</f>
        <v>0</v>
      </c>
      <c r="AC127" s="92">
        <f t="shared" si="95"/>
        <v>78632.19</v>
      </c>
    </row>
    <row r="128" spans="2:29" ht="15">
      <c r="B128" s="57">
        <v>3411</v>
      </c>
      <c r="C128" s="26" t="s">
        <v>200</v>
      </c>
      <c r="D128" s="58">
        <f>+PRESUPACUM!D128</f>
        <v>60000</v>
      </c>
      <c r="E128" s="58">
        <f>+PRESUPACUM!E128</f>
        <v>60000</v>
      </c>
      <c r="F128" s="18">
        <v>1421</v>
      </c>
      <c r="G128" s="59">
        <f>+F128</f>
        <v>1421</v>
      </c>
      <c r="H128" s="18">
        <v>1315.44</v>
      </c>
      <c r="I128" s="15">
        <f>+G128+H128</f>
        <v>2736.44</v>
      </c>
      <c r="J128" s="18">
        <v>1360.68</v>
      </c>
      <c r="K128" s="15">
        <f>+I128+J128</f>
        <v>4097.12</v>
      </c>
      <c r="L128" s="18">
        <v>0</v>
      </c>
      <c r="M128" s="15">
        <f>+K128+L128</f>
        <v>4097.12</v>
      </c>
      <c r="N128" s="18">
        <v>0</v>
      </c>
      <c r="O128" s="15">
        <f>+M128+N128</f>
        <v>4097.12</v>
      </c>
      <c r="P128" s="18">
        <v>0</v>
      </c>
      <c r="Q128" s="15">
        <f>+O128+P128</f>
        <v>4097.12</v>
      </c>
      <c r="R128" s="18">
        <v>0</v>
      </c>
      <c r="S128" s="15">
        <f>+Q128+R128</f>
        <v>4097.12</v>
      </c>
      <c r="T128" s="18">
        <v>0</v>
      </c>
      <c r="U128" s="15">
        <f>+S128+T128</f>
        <v>4097.12</v>
      </c>
      <c r="V128" s="18">
        <v>0</v>
      </c>
      <c r="W128" s="15">
        <f>+U128+V128</f>
        <v>4097.12</v>
      </c>
      <c r="X128" s="18">
        <v>0</v>
      </c>
      <c r="Y128" s="15">
        <f>+W128+X128</f>
        <v>4097.12</v>
      </c>
      <c r="Z128" s="18">
        <v>0</v>
      </c>
      <c r="AA128" s="15">
        <f>+Y128+Z128</f>
        <v>4097.12</v>
      </c>
      <c r="AB128" s="18">
        <v>0</v>
      </c>
      <c r="AC128" s="15">
        <f>+AA128+AB128</f>
        <v>4097.12</v>
      </c>
    </row>
    <row r="129" spans="2:29" ht="15">
      <c r="B129" s="57">
        <v>3441</v>
      </c>
      <c r="C129" s="26" t="s">
        <v>192</v>
      </c>
      <c r="D129" s="58">
        <f>+PRESUPACUM!D129</f>
        <v>5000</v>
      </c>
      <c r="E129" s="58">
        <f>+PRESUPACUM!E129</f>
        <v>7000</v>
      </c>
      <c r="F129" s="18">
        <v>0</v>
      </c>
      <c r="G129" s="59">
        <f>+F129</f>
        <v>0</v>
      </c>
      <c r="H129" s="18">
        <v>0</v>
      </c>
      <c r="I129" s="15">
        <f>+G129+H129</f>
        <v>0</v>
      </c>
      <c r="J129" s="18">
        <v>0</v>
      </c>
      <c r="K129" s="15">
        <f>+I129+J129</f>
        <v>0</v>
      </c>
      <c r="L129" s="18">
        <v>0</v>
      </c>
      <c r="M129" s="15">
        <f>+K129+L129</f>
        <v>0</v>
      </c>
      <c r="N129" s="18">
        <v>0</v>
      </c>
      <c r="O129" s="15">
        <f>+M129+N129</f>
        <v>0</v>
      </c>
      <c r="P129" s="18">
        <v>0</v>
      </c>
      <c r="Q129" s="15">
        <f>+O129+P129</f>
        <v>0</v>
      </c>
      <c r="R129" s="18">
        <v>0</v>
      </c>
      <c r="S129" s="15">
        <f>+Q129+R129</f>
        <v>0</v>
      </c>
      <c r="T129" s="18">
        <v>0</v>
      </c>
      <c r="U129" s="15">
        <f>+S129+T129</f>
        <v>0</v>
      </c>
      <c r="V129" s="18">
        <v>0</v>
      </c>
      <c r="W129" s="15">
        <f>+U129+V129</f>
        <v>0</v>
      </c>
      <c r="X129" s="18">
        <v>0</v>
      </c>
      <c r="Y129" s="15">
        <f>+W129+X129</f>
        <v>0</v>
      </c>
      <c r="Z129" s="18">
        <v>0</v>
      </c>
      <c r="AA129" s="15">
        <f>+Y129+Z129</f>
        <v>0</v>
      </c>
      <c r="AB129" s="18">
        <v>0</v>
      </c>
      <c r="AC129" s="15">
        <f>+AA129+AB129</f>
        <v>0</v>
      </c>
    </row>
    <row r="130" spans="2:29" ht="15">
      <c r="B130" s="57">
        <v>3451</v>
      </c>
      <c r="C130" s="26" t="s">
        <v>147</v>
      </c>
      <c r="D130" s="58">
        <f>+PRESUPACUM!D130</f>
        <v>273971.64</v>
      </c>
      <c r="E130" s="58">
        <f>+PRESUPACUM!E130</f>
        <v>273971.64</v>
      </c>
      <c r="F130" s="18">
        <v>22830.97</v>
      </c>
      <c r="G130" s="59">
        <f>+F130</f>
        <v>22830.97</v>
      </c>
      <c r="H130" s="18">
        <v>22830.97</v>
      </c>
      <c r="I130" s="15">
        <f>+G130+H130</f>
        <v>45661.94</v>
      </c>
      <c r="J130" s="18">
        <v>22830.97</v>
      </c>
      <c r="K130" s="15">
        <f>+I130+J130</f>
        <v>68492.91</v>
      </c>
      <c r="L130" s="18">
        <v>0</v>
      </c>
      <c r="M130" s="15">
        <f>+K130+L130</f>
        <v>68492.91</v>
      </c>
      <c r="N130" s="18">
        <v>0</v>
      </c>
      <c r="O130" s="15">
        <f>+M130+N130</f>
        <v>68492.91</v>
      </c>
      <c r="P130" s="18">
        <v>0</v>
      </c>
      <c r="Q130" s="15">
        <f>+O130+P130</f>
        <v>68492.91</v>
      </c>
      <c r="R130" s="18">
        <v>0</v>
      </c>
      <c r="S130" s="15">
        <f>+Q130+R130</f>
        <v>68492.91</v>
      </c>
      <c r="T130" s="18">
        <v>0</v>
      </c>
      <c r="U130" s="15">
        <f>+S130+T130</f>
        <v>68492.91</v>
      </c>
      <c r="V130" s="18">
        <v>0</v>
      </c>
      <c r="W130" s="15">
        <f>+U130+V130</f>
        <v>68492.91</v>
      </c>
      <c r="X130" s="18">
        <v>0</v>
      </c>
      <c r="Y130" s="15">
        <f>+W130+X130</f>
        <v>68492.91</v>
      </c>
      <c r="Z130" s="18">
        <v>0</v>
      </c>
      <c r="AA130" s="15">
        <f>+Y130+Z130</f>
        <v>68492.91</v>
      </c>
      <c r="AB130" s="18">
        <v>0</v>
      </c>
      <c r="AC130" s="15">
        <f>+AA130+AB130</f>
        <v>68492.91</v>
      </c>
    </row>
    <row r="131" spans="2:29" ht="15">
      <c r="B131" s="57">
        <v>3471</v>
      </c>
      <c r="C131" s="14" t="s">
        <v>87</v>
      </c>
      <c r="D131" s="58">
        <f>+PRESUPACUM!D131</f>
        <v>0</v>
      </c>
      <c r="E131" s="58">
        <f>+PRESUPACUM!E131</f>
        <v>0</v>
      </c>
      <c r="F131" s="18">
        <v>0</v>
      </c>
      <c r="G131" s="59">
        <f>+F131</f>
        <v>0</v>
      </c>
      <c r="H131" s="18">
        <v>0</v>
      </c>
      <c r="I131" s="15">
        <f>+G131+H131</f>
        <v>0</v>
      </c>
      <c r="J131" s="18">
        <v>0</v>
      </c>
      <c r="K131" s="15">
        <f>+I131+J131</f>
        <v>0</v>
      </c>
      <c r="L131" s="18">
        <v>0</v>
      </c>
      <c r="M131" s="15">
        <f>+K131+L131</f>
        <v>0</v>
      </c>
      <c r="N131" s="18">
        <v>0</v>
      </c>
      <c r="O131" s="15">
        <f>+M131+N131</f>
        <v>0</v>
      </c>
      <c r="P131" s="18">
        <v>0</v>
      </c>
      <c r="Q131" s="15">
        <f>+O131+P131</f>
        <v>0</v>
      </c>
      <c r="R131" s="18">
        <v>0</v>
      </c>
      <c r="S131" s="15">
        <f>+Q131+R131</f>
        <v>0</v>
      </c>
      <c r="T131" s="18">
        <v>0</v>
      </c>
      <c r="U131" s="15">
        <f>+S131+T131</f>
        <v>0</v>
      </c>
      <c r="V131" s="18">
        <v>0</v>
      </c>
      <c r="W131" s="15">
        <f>+U131+V131</f>
        <v>0</v>
      </c>
      <c r="X131" s="18">
        <v>0</v>
      </c>
      <c r="Y131" s="15">
        <f>+W131+X131</f>
        <v>0</v>
      </c>
      <c r="Z131" s="18">
        <v>0</v>
      </c>
      <c r="AA131" s="15">
        <f>+Y131+Z131</f>
        <v>0</v>
      </c>
      <c r="AB131" s="18">
        <v>0</v>
      </c>
      <c r="AC131" s="15">
        <f>+AA131+AB131</f>
        <v>0</v>
      </c>
    </row>
    <row r="132" spans="2:29" ht="15">
      <c r="B132" s="57">
        <v>3499</v>
      </c>
      <c r="C132" s="14" t="s">
        <v>148</v>
      </c>
      <c r="D132" s="58">
        <f>+PRESUPACUM!D132</f>
        <v>30000</v>
      </c>
      <c r="E132" s="58">
        <f>+PRESUPACUM!E132</f>
        <v>30000</v>
      </c>
      <c r="F132" s="18">
        <v>2001.87</v>
      </c>
      <c r="G132" s="59">
        <f>+F132</f>
        <v>2001.87</v>
      </c>
      <c r="H132" s="18">
        <v>2046.39</v>
      </c>
      <c r="I132" s="15">
        <f>+G132+H132</f>
        <v>4048.26</v>
      </c>
      <c r="J132" s="18">
        <v>1993.9</v>
      </c>
      <c r="K132" s="15">
        <f>+I132+J132</f>
        <v>6042.16</v>
      </c>
      <c r="L132" s="18">
        <v>0</v>
      </c>
      <c r="M132" s="15">
        <f>+K132+L132</f>
        <v>6042.16</v>
      </c>
      <c r="N132" s="18">
        <v>0</v>
      </c>
      <c r="O132" s="15">
        <f>+M132+N132</f>
        <v>6042.16</v>
      </c>
      <c r="P132" s="18">
        <v>0</v>
      </c>
      <c r="Q132" s="15">
        <f>+O132+P132</f>
        <v>6042.16</v>
      </c>
      <c r="R132" s="18">
        <v>0</v>
      </c>
      <c r="S132" s="15">
        <f>+Q132+R132</f>
        <v>6042.16</v>
      </c>
      <c r="T132" s="18">
        <v>0</v>
      </c>
      <c r="U132" s="15">
        <f>+S132+T132</f>
        <v>6042.16</v>
      </c>
      <c r="V132" s="18">
        <v>0</v>
      </c>
      <c r="W132" s="15">
        <f>+U132+V132</f>
        <v>6042.16</v>
      </c>
      <c r="X132" s="18">
        <v>0</v>
      </c>
      <c r="Y132" s="15">
        <f>+W132+X132</f>
        <v>6042.16</v>
      </c>
      <c r="Z132" s="18">
        <v>0</v>
      </c>
      <c r="AA132" s="15">
        <f>+Y132+Z132</f>
        <v>6042.16</v>
      </c>
      <c r="AB132" s="18">
        <v>0</v>
      </c>
      <c r="AC132" s="15">
        <f>+AA132+AB132</f>
        <v>6042.16</v>
      </c>
    </row>
    <row r="133" spans="2:29" ht="15.75">
      <c r="B133" s="83"/>
      <c r="C133" s="26"/>
      <c r="D133" s="95"/>
      <c r="E133" s="95"/>
      <c r="F133" s="19"/>
      <c r="G133" s="15"/>
      <c r="H133" s="19"/>
      <c r="I133" s="15"/>
      <c r="J133" s="19"/>
      <c r="K133" s="15"/>
      <c r="L133" s="19"/>
      <c r="M133" s="15"/>
      <c r="N133" s="19"/>
      <c r="O133" s="15"/>
      <c r="P133" s="19"/>
      <c r="Q133" s="15"/>
      <c r="R133" s="19"/>
      <c r="S133" s="15"/>
      <c r="T133" s="19"/>
      <c r="U133" s="15"/>
      <c r="V133" s="19"/>
      <c r="W133" s="15"/>
      <c r="X133" s="19"/>
      <c r="Y133" s="15"/>
      <c r="Z133" s="19"/>
      <c r="AA133" s="15"/>
      <c r="AB133" s="19"/>
      <c r="AC133" s="15"/>
    </row>
    <row r="134" spans="2:29" ht="15.75">
      <c r="B134" s="69">
        <v>3500</v>
      </c>
      <c r="C134" s="67" t="s">
        <v>150</v>
      </c>
      <c r="D134" s="92">
        <f aca="true" t="shared" si="96" ref="D134:AC134">SUM(D135:D141)</f>
        <v>4209043.45</v>
      </c>
      <c r="E134" s="92">
        <f>SUM(E135:E141)</f>
        <v>4209043.45</v>
      </c>
      <c r="F134" s="70">
        <f t="shared" si="96"/>
        <v>266040.64</v>
      </c>
      <c r="G134" s="70">
        <f t="shared" si="96"/>
        <v>266040.64</v>
      </c>
      <c r="H134" s="70">
        <f>SUM(H135:H141)</f>
        <v>266040.65</v>
      </c>
      <c r="I134" s="70">
        <f t="shared" si="96"/>
        <v>532081.29</v>
      </c>
      <c r="J134" s="70">
        <f>SUM(J135:J141)</f>
        <v>293651.66000000003</v>
      </c>
      <c r="K134" s="70">
        <f t="shared" si="96"/>
        <v>825732.9500000001</v>
      </c>
      <c r="L134" s="70">
        <f t="shared" si="96"/>
        <v>0</v>
      </c>
      <c r="M134" s="70">
        <f t="shared" si="96"/>
        <v>825732.9500000001</v>
      </c>
      <c r="N134" s="70">
        <f>SUM(N135:N141)</f>
        <v>0</v>
      </c>
      <c r="O134" s="70">
        <f t="shared" si="96"/>
        <v>825732.9500000001</v>
      </c>
      <c r="P134" s="70">
        <f>SUM(P135:P141)</f>
        <v>0</v>
      </c>
      <c r="Q134" s="70">
        <f t="shared" si="96"/>
        <v>825732.9500000001</v>
      </c>
      <c r="R134" s="70">
        <f>SUM(R135:R141)</f>
        <v>0</v>
      </c>
      <c r="S134" s="70">
        <f t="shared" si="96"/>
        <v>825732.9500000001</v>
      </c>
      <c r="T134" s="70">
        <f t="shared" si="96"/>
        <v>0</v>
      </c>
      <c r="U134" s="70">
        <f t="shared" si="96"/>
        <v>825732.9500000001</v>
      </c>
      <c r="V134" s="70">
        <f>SUM(V135:V141)</f>
        <v>0</v>
      </c>
      <c r="W134" s="70">
        <f t="shared" si="96"/>
        <v>825732.9500000001</v>
      </c>
      <c r="X134" s="70">
        <f>SUM(X135:X141)</f>
        <v>0</v>
      </c>
      <c r="Y134" s="70">
        <f t="shared" si="96"/>
        <v>825732.9500000001</v>
      </c>
      <c r="Z134" s="70">
        <f t="shared" si="96"/>
        <v>0</v>
      </c>
      <c r="AA134" s="70">
        <f t="shared" si="96"/>
        <v>825732.9500000001</v>
      </c>
      <c r="AB134" s="70">
        <f>SUM(AB135:AB141)</f>
        <v>0</v>
      </c>
      <c r="AC134" s="70">
        <f t="shared" si="96"/>
        <v>825732.9500000001</v>
      </c>
    </row>
    <row r="135" spans="2:29" ht="15">
      <c r="B135" s="81">
        <v>3511</v>
      </c>
      <c r="C135" s="26" t="s">
        <v>151</v>
      </c>
      <c r="D135" s="94">
        <f>+PRESUPACUM!D135</f>
        <v>129204</v>
      </c>
      <c r="E135" s="94">
        <f>+PRESUPACUM!E135</f>
        <v>129204</v>
      </c>
      <c r="F135" s="72">
        <v>10766.76</v>
      </c>
      <c r="G135" s="59">
        <f aca="true" t="shared" si="97" ref="G135:G141">+F135</f>
        <v>10766.76</v>
      </c>
      <c r="H135" s="72">
        <v>10766.77</v>
      </c>
      <c r="I135" s="15">
        <f aca="true" t="shared" si="98" ref="I135:I141">+G135+H135</f>
        <v>21533.53</v>
      </c>
      <c r="J135" s="72">
        <v>10766.77</v>
      </c>
      <c r="K135" s="15">
        <f aca="true" t="shared" si="99" ref="K135:K141">+I135+J135</f>
        <v>32300.3</v>
      </c>
      <c r="L135" s="72">
        <v>0</v>
      </c>
      <c r="M135" s="15">
        <f aca="true" t="shared" si="100" ref="M135:M141">+K135+L135</f>
        <v>32300.3</v>
      </c>
      <c r="N135" s="72">
        <v>0</v>
      </c>
      <c r="O135" s="15">
        <f aca="true" t="shared" si="101" ref="O135:O141">+M135+N135</f>
        <v>32300.3</v>
      </c>
      <c r="P135" s="72">
        <v>0</v>
      </c>
      <c r="Q135" s="15">
        <f aca="true" t="shared" si="102" ref="Q135:Q141">+O135+P135</f>
        <v>32300.3</v>
      </c>
      <c r="R135" s="72">
        <v>0</v>
      </c>
      <c r="S135" s="15">
        <f aca="true" t="shared" si="103" ref="S135:S141">+Q135+R135</f>
        <v>32300.3</v>
      </c>
      <c r="T135" s="72">
        <v>0</v>
      </c>
      <c r="U135" s="15">
        <f aca="true" t="shared" si="104" ref="U135:U141">+S135+T135</f>
        <v>32300.3</v>
      </c>
      <c r="V135" s="72">
        <v>0</v>
      </c>
      <c r="W135" s="15">
        <f aca="true" t="shared" si="105" ref="W135:W141">+U135+V135</f>
        <v>32300.3</v>
      </c>
      <c r="X135" s="72">
        <v>0</v>
      </c>
      <c r="Y135" s="15">
        <f aca="true" t="shared" si="106" ref="Y135:Y141">+W135+X135</f>
        <v>32300.3</v>
      </c>
      <c r="Z135" s="72">
        <v>0</v>
      </c>
      <c r="AA135" s="15">
        <f aca="true" t="shared" si="107" ref="AA135:AA141">+Y135+Z135</f>
        <v>32300.3</v>
      </c>
      <c r="AB135" s="72">
        <v>0</v>
      </c>
      <c r="AC135" s="15">
        <f aca="true" t="shared" si="108" ref="AC135:AC141">+AA135+AB135</f>
        <v>32300.3</v>
      </c>
    </row>
    <row r="136" spans="2:29" ht="15">
      <c r="B136" s="57">
        <v>3521</v>
      </c>
      <c r="C136" s="14" t="s">
        <v>152</v>
      </c>
      <c r="D136" s="58">
        <f>+PRESUPACUM!D136</f>
        <v>330000</v>
      </c>
      <c r="E136" s="58">
        <f>+PRESUPACUM!E136</f>
        <v>330000</v>
      </c>
      <c r="F136" s="18">
        <v>0</v>
      </c>
      <c r="G136" s="59">
        <f t="shared" si="97"/>
        <v>0</v>
      </c>
      <c r="H136" s="18">
        <v>0</v>
      </c>
      <c r="I136" s="15">
        <f t="shared" si="98"/>
        <v>0</v>
      </c>
      <c r="J136" s="18">
        <v>0</v>
      </c>
      <c r="K136" s="15">
        <f t="shared" si="99"/>
        <v>0</v>
      </c>
      <c r="L136" s="18">
        <v>0</v>
      </c>
      <c r="M136" s="15">
        <f t="shared" si="100"/>
        <v>0</v>
      </c>
      <c r="N136" s="18">
        <v>0</v>
      </c>
      <c r="O136" s="15">
        <f t="shared" si="101"/>
        <v>0</v>
      </c>
      <c r="P136" s="18">
        <v>0</v>
      </c>
      <c r="Q136" s="15">
        <f t="shared" si="102"/>
        <v>0</v>
      </c>
      <c r="R136" s="18">
        <v>0</v>
      </c>
      <c r="S136" s="15">
        <f t="shared" si="103"/>
        <v>0</v>
      </c>
      <c r="T136" s="18">
        <v>0</v>
      </c>
      <c r="U136" s="15">
        <f t="shared" si="104"/>
        <v>0</v>
      </c>
      <c r="V136" s="18">
        <v>0</v>
      </c>
      <c r="W136" s="15">
        <f t="shared" si="105"/>
        <v>0</v>
      </c>
      <c r="X136" s="18">
        <v>0</v>
      </c>
      <c r="Y136" s="15">
        <f t="shared" si="106"/>
        <v>0</v>
      </c>
      <c r="Z136" s="18">
        <v>0</v>
      </c>
      <c r="AA136" s="15">
        <f t="shared" si="107"/>
        <v>0</v>
      </c>
      <c r="AB136" s="18">
        <v>0</v>
      </c>
      <c r="AC136" s="15">
        <f t="shared" si="108"/>
        <v>0</v>
      </c>
    </row>
    <row r="137" spans="2:29" ht="15">
      <c r="B137" s="57">
        <v>3531</v>
      </c>
      <c r="C137" s="14" t="s">
        <v>153</v>
      </c>
      <c r="D137" s="58">
        <f>+PRESUPACUM!D137</f>
        <v>2077455.7400000005</v>
      </c>
      <c r="E137" s="58">
        <f>+PRESUPACUM!E137</f>
        <v>2077455.7400000005</v>
      </c>
      <c r="F137" s="18">
        <v>133640.26</v>
      </c>
      <c r="G137" s="59">
        <f t="shared" si="97"/>
        <v>133640.26</v>
      </c>
      <c r="H137" s="18">
        <v>133640.26</v>
      </c>
      <c r="I137" s="15">
        <f>+G137+H137</f>
        <v>267280.52</v>
      </c>
      <c r="J137" s="18">
        <f>133640.26+118443.12</f>
        <v>252083.38</v>
      </c>
      <c r="K137" s="15">
        <f>+I137+J137</f>
        <v>519363.9</v>
      </c>
      <c r="L137" s="18">
        <v>0</v>
      </c>
      <c r="M137" s="15">
        <f>+K137+L137</f>
        <v>519363.9</v>
      </c>
      <c r="N137" s="18">
        <v>0</v>
      </c>
      <c r="O137" s="15">
        <f>+M137+N137</f>
        <v>519363.9</v>
      </c>
      <c r="P137" s="18">
        <v>0</v>
      </c>
      <c r="Q137" s="15">
        <f>+O137+P137</f>
        <v>519363.9</v>
      </c>
      <c r="R137" s="18">
        <v>0</v>
      </c>
      <c r="S137" s="15">
        <f>+Q137+R137</f>
        <v>519363.9</v>
      </c>
      <c r="T137" s="18">
        <v>0</v>
      </c>
      <c r="U137" s="15">
        <f>+S137+T137</f>
        <v>519363.9</v>
      </c>
      <c r="V137" s="18">
        <v>0</v>
      </c>
      <c r="W137" s="15">
        <f>+U137+V137</f>
        <v>519363.9</v>
      </c>
      <c r="X137" s="18">
        <v>0</v>
      </c>
      <c r="Y137" s="15">
        <f>+W137+X137</f>
        <v>519363.9</v>
      </c>
      <c r="Z137" s="18">
        <v>0</v>
      </c>
      <c r="AA137" s="15">
        <f>+Y137+Z137</f>
        <v>519363.9</v>
      </c>
      <c r="AB137" s="18">
        <v>0</v>
      </c>
      <c r="AC137" s="15">
        <f>+AA137+AB137</f>
        <v>519363.9</v>
      </c>
    </row>
    <row r="138" spans="2:29" ht="15">
      <c r="B138" s="57">
        <v>3553</v>
      </c>
      <c r="C138" s="14" t="s">
        <v>193</v>
      </c>
      <c r="D138" s="58">
        <f>+PRESUPACUM!D138</f>
        <v>150000</v>
      </c>
      <c r="E138" s="58">
        <f>+PRESUPACUM!E138</f>
        <v>150000</v>
      </c>
      <c r="F138" s="18">
        <v>39481.04</v>
      </c>
      <c r="G138" s="59">
        <f t="shared" si="97"/>
        <v>39481.04</v>
      </c>
      <c r="H138" s="18">
        <v>39481.04</v>
      </c>
      <c r="I138" s="15">
        <f t="shared" si="98"/>
        <v>78962.08</v>
      </c>
      <c r="J138" s="18">
        <f>47981.05-118443.12</f>
        <v>-70462.06999999999</v>
      </c>
      <c r="K138" s="15">
        <f t="shared" si="99"/>
        <v>8500.01000000001</v>
      </c>
      <c r="L138" s="18">
        <v>0</v>
      </c>
      <c r="M138" s="15">
        <f t="shared" si="100"/>
        <v>8500.01000000001</v>
      </c>
      <c r="N138" s="18">
        <v>0</v>
      </c>
      <c r="O138" s="15">
        <f t="shared" si="101"/>
        <v>8500.01000000001</v>
      </c>
      <c r="P138" s="18">
        <v>0</v>
      </c>
      <c r="Q138" s="15">
        <f t="shared" si="102"/>
        <v>8500.01000000001</v>
      </c>
      <c r="R138" s="18">
        <v>0</v>
      </c>
      <c r="S138" s="15">
        <f t="shared" si="103"/>
        <v>8500.01000000001</v>
      </c>
      <c r="T138" s="18">
        <v>0</v>
      </c>
      <c r="U138" s="15">
        <f t="shared" si="104"/>
        <v>8500.01000000001</v>
      </c>
      <c r="V138" s="18">
        <v>0</v>
      </c>
      <c r="W138" s="15">
        <f t="shared" si="105"/>
        <v>8500.01000000001</v>
      </c>
      <c r="X138" s="18">
        <v>0</v>
      </c>
      <c r="Y138" s="15">
        <f t="shared" si="106"/>
        <v>8500.01000000001</v>
      </c>
      <c r="Z138" s="18">
        <v>0</v>
      </c>
      <c r="AA138" s="15">
        <f t="shared" si="107"/>
        <v>8500.01000000001</v>
      </c>
      <c r="AB138" s="18">
        <v>0</v>
      </c>
      <c r="AC138" s="15">
        <f t="shared" si="108"/>
        <v>8500.01000000001</v>
      </c>
    </row>
    <row r="139" spans="2:29" ht="15">
      <c r="B139" s="57">
        <v>3571</v>
      </c>
      <c r="C139" s="14" t="s">
        <v>204</v>
      </c>
      <c r="D139" s="58">
        <f>+PRESUPACUM!D139</f>
        <v>508832.73</v>
      </c>
      <c r="E139" s="58">
        <f>+PRESUPACUM!E139</f>
        <v>508832.73</v>
      </c>
      <c r="F139" s="18">
        <v>0</v>
      </c>
      <c r="G139" s="59">
        <f>+F139</f>
        <v>0</v>
      </c>
      <c r="H139" s="18">
        <v>0</v>
      </c>
      <c r="I139" s="15">
        <f>+G139+H139</f>
        <v>0</v>
      </c>
      <c r="J139" s="18">
        <v>19111</v>
      </c>
      <c r="K139" s="15">
        <f>+I139+J139</f>
        <v>19111</v>
      </c>
      <c r="L139" s="18">
        <v>0</v>
      </c>
      <c r="M139" s="15">
        <f>+K139+L139</f>
        <v>19111</v>
      </c>
      <c r="N139" s="18">
        <v>0</v>
      </c>
      <c r="O139" s="15">
        <f>+M139+N139</f>
        <v>19111</v>
      </c>
      <c r="P139" s="18">
        <v>0</v>
      </c>
      <c r="Q139" s="15">
        <f>+O139+P139</f>
        <v>19111</v>
      </c>
      <c r="R139" s="18">
        <v>0</v>
      </c>
      <c r="S139" s="15">
        <f>+Q139+R139</f>
        <v>19111</v>
      </c>
      <c r="T139" s="18">
        <v>0</v>
      </c>
      <c r="U139" s="15">
        <f>+S139+T139</f>
        <v>19111</v>
      </c>
      <c r="V139" s="18">
        <v>0</v>
      </c>
      <c r="W139" s="15">
        <f>+U139+V139</f>
        <v>19111</v>
      </c>
      <c r="X139" s="18">
        <v>0</v>
      </c>
      <c r="Y139" s="15">
        <f>+W139+X139</f>
        <v>19111</v>
      </c>
      <c r="Z139" s="18">
        <v>0</v>
      </c>
      <c r="AA139" s="15">
        <f>+Y139+Z139</f>
        <v>19111</v>
      </c>
      <c r="AB139" s="18">
        <v>0</v>
      </c>
      <c r="AC139" s="15">
        <f>+AA139+AB139</f>
        <v>19111</v>
      </c>
    </row>
    <row r="140" spans="2:29" ht="15">
      <c r="B140" s="81">
        <v>3581</v>
      </c>
      <c r="C140" s="14" t="s">
        <v>154</v>
      </c>
      <c r="D140" s="93">
        <f>+PRESUPACUM!D140</f>
        <v>985830.9799999999</v>
      </c>
      <c r="E140" s="93">
        <f>+PRESUPACUM!E140</f>
        <v>985830.9799999999</v>
      </c>
      <c r="F140" s="17">
        <v>82152.58</v>
      </c>
      <c r="G140" s="59">
        <f t="shared" si="97"/>
        <v>82152.58</v>
      </c>
      <c r="H140" s="17">
        <v>82152.58</v>
      </c>
      <c r="I140" s="15">
        <f t="shared" si="98"/>
        <v>164305.16</v>
      </c>
      <c r="J140" s="17">
        <v>82152.58</v>
      </c>
      <c r="K140" s="15">
        <f t="shared" si="99"/>
        <v>246457.74</v>
      </c>
      <c r="L140" s="17">
        <v>0</v>
      </c>
      <c r="M140" s="15">
        <f t="shared" si="100"/>
        <v>246457.74</v>
      </c>
      <c r="N140" s="17">
        <v>0</v>
      </c>
      <c r="O140" s="15">
        <f t="shared" si="101"/>
        <v>246457.74</v>
      </c>
      <c r="P140" s="17">
        <v>0</v>
      </c>
      <c r="Q140" s="15">
        <f t="shared" si="102"/>
        <v>246457.74</v>
      </c>
      <c r="R140" s="17">
        <v>0</v>
      </c>
      <c r="S140" s="15">
        <f t="shared" si="103"/>
        <v>246457.74</v>
      </c>
      <c r="T140" s="17">
        <v>0</v>
      </c>
      <c r="U140" s="15">
        <f t="shared" si="104"/>
        <v>246457.74</v>
      </c>
      <c r="V140" s="17">
        <v>0</v>
      </c>
      <c r="W140" s="15">
        <f t="shared" si="105"/>
        <v>246457.74</v>
      </c>
      <c r="X140" s="17">
        <v>0</v>
      </c>
      <c r="Y140" s="15">
        <f t="shared" si="106"/>
        <v>246457.74</v>
      </c>
      <c r="Z140" s="17">
        <v>0</v>
      </c>
      <c r="AA140" s="15">
        <f t="shared" si="107"/>
        <v>246457.74</v>
      </c>
      <c r="AB140" s="17">
        <v>0</v>
      </c>
      <c r="AC140" s="15">
        <f t="shared" si="108"/>
        <v>246457.74</v>
      </c>
    </row>
    <row r="141" spans="2:29" ht="15">
      <c r="B141" s="78">
        <v>3591</v>
      </c>
      <c r="C141" s="8" t="s">
        <v>155</v>
      </c>
      <c r="D141" s="58">
        <f>+PRESUPACUM!D141</f>
        <v>27720</v>
      </c>
      <c r="E141" s="58">
        <f>+PRESUPACUM!E141</f>
        <v>27720</v>
      </c>
      <c r="F141" s="18">
        <v>0</v>
      </c>
      <c r="G141" s="59">
        <f t="shared" si="97"/>
        <v>0</v>
      </c>
      <c r="H141" s="18">
        <v>0</v>
      </c>
      <c r="I141" s="15">
        <f t="shared" si="98"/>
        <v>0</v>
      </c>
      <c r="J141" s="18">
        <v>0</v>
      </c>
      <c r="K141" s="15">
        <f t="shared" si="99"/>
        <v>0</v>
      </c>
      <c r="L141" s="18">
        <v>0</v>
      </c>
      <c r="M141" s="15">
        <f t="shared" si="100"/>
        <v>0</v>
      </c>
      <c r="N141" s="18">
        <v>0</v>
      </c>
      <c r="O141" s="15">
        <f t="shared" si="101"/>
        <v>0</v>
      </c>
      <c r="P141" s="18">
        <v>0</v>
      </c>
      <c r="Q141" s="15">
        <f t="shared" si="102"/>
        <v>0</v>
      </c>
      <c r="R141" s="18">
        <v>0</v>
      </c>
      <c r="S141" s="15">
        <f t="shared" si="103"/>
        <v>0</v>
      </c>
      <c r="T141" s="18">
        <v>0</v>
      </c>
      <c r="U141" s="15">
        <f t="shared" si="104"/>
        <v>0</v>
      </c>
      <c r="V141" s="18">
        <v>0</v>
      </c>
      <c r="W141" s="15">
        <f t="shared" si="105"/>
        <v>0</v>
      </c>
      <c r="X141" s="18">
        <v>0</v>
      </c>
      <c r="Y141" s="15">
        <f t="shared" si="106"/>
        <v>0</v>
      </c>
      <c r="Z141" s="18">
        <v>0</v>
      </c>
      <c r="AA141" s="15">
        <f t="shared" si="107"/>
        <v>0</v>
      </c>
      <c r="AB141" s="18">
        <v>0</v>
      </c>
      <c r="AC141" s="15">
        <f t="shared" si="108"/>
        <v>0</v>
      </c>
    </row>
    <row r="142" spans="4:29" ht="15">
      <c r="D142" s="58"/>
      <c r="E142" s="58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</row>
    <row r="143" spans="2:29" ht="15.75">
      <c r="B143" s="69">
        <v>3600</v>
      </c>
      <c r="C143" s="67" t="s">
        <v>156</v>
      </c>
      <c r="D143" s="92">
        <f aca="true" t="shared" si="109" ref="D143:AC143">SUM(D144:D146)</f>
        <v>6305512.24</v>
      </c>
      <c r="E143" s="92">
        <f>SUM(E144:E146)</f>
        <v>6305512.24</v>
      </c>
      <c r="F143" s="70">
        <f t="shared" si="109"/>
        <v>57828.32</v>
      </c>
      <c r="G143" s="70">
        <f t="shared" si="109"/>
        <v>57828.32</v>
      </c>
      <c r="H143" s="70">
        <f>SUM(H144:H146)</f>
        <v>57828.32</v>
      </c>
      <c r="I143" s="70">
        <f t="shared" si="109"/>
        <v>115656.64</v>
      </c>
      <c r="J143" s="70">
        <f>SUM(J144:J146)</f>
        <v>57828.32</v>
      </c>
      <c r="K143" s="70">
        <f t="shared" si="109"/>
        <v>173484.96</v>
      </c>
      <c r="L143" s="70">
        <f t="shared" si="109"/>
        <v>0</v>
      </c>
      <c r="M143" s="70">
        <f t="shared" si="109"/>
        <v>173484.96</v>
      </c>
      <c r="N143" s="70">
        <f>SUM(N144:N146)</f>
        <v>0</v>
      </c>
      <c r="O143" s="70">
        <f t="shared" si="109"/>
        <v>173484.96</v>
      </c>
      <c r="P143" s="70">
        <f>SUM(P144:P146)</f>
        <v>0</v>
      </c>
      <c r="Q143" s="70">
        <f t="shared" si="109"/>
        <v>173484.96</v>
      </c>
      <c r="R143" s="70">
        <f>SUM(R144:R146)</f>
        <v>0</v>
      </c>
      <c r="S143" s="70">
        <f t="shared" si="109"/>
        <v>173484.96</v>
      </c>
      <c r="T143" s="70">
        <f t="shared" si="109"/>
        <v>0</v>
      </c>
      <c r="U143" s="70">
        <f t="shared" si="109"/>
        <v>173484.96</v>
      </c>
      <c r="V143" s="70">
        <f>SUM(V144:V146)</f>
        <v>0</v>
      </c>
      <c r="W143" s="70">
        <f t="shared" si="109"/>
        <v>173484.96</v>
      </c>
      <c r="X143" s="70">
        <f>SUM(X144:X146)</f>
        <v>0</v>
      </c>
      <c r="Y143" s="70">
        <f t="shared" si="109"/>
        <v>173484.96</v>
      </c>
      <c r="Z143" s="70">
        <f t="shared" si="109"/>
        <v>0</v>
      </c>
      <c r="AA143" s="70">
        <f t="shared" si="109"/>
        <v>173484.96</v>
      </c>
      <c r="AB143" s="70">
        <f>SUM(AB144:AB146)</f>
        <v>0</v>
      </c>
      <c r="AC143" s="70">
        <f t="shared" si="109"/>
        <v>173484.96</v>
      </c>
    </row>
    <row r="144" spans="2:29" ht="15">
      <c r="B144" s="57">
        <v>3611</v>
      </c>
      <c r="C144" s="14" t="s">
        <v>235</v>
      </c>
      <c r="D144" s="94">
        <f>+PRESUPACUM!D144</f>
        <v>6001332.4</v>
      </c>
      <c r="E144" s="94">
        <f>+PRESUPACUM!E144</f>
        <v>6001332.4</v>
      </c>
      <c r="F144" s="72">
        <v>32480</v>
      </c>
      <c r="G144" s="59">
        <f>+F144</f>
        <v>32480</v>
      </c>
      <c r="H144" s="72">
        <v>32480</v>
      </c>
      <c r="I144" s="15">
        <f>+G144+H144</f>
        <v>64960</v>
      </c>
      <c r="J144" s="72">
        <v>32480</v>
      </c>
      <c r="K144" s="15">
        <f>+I144+J144</f>
        <v>97440</v>
      </c>
      <c r="L144" s="72">
        <v>0</v>
      </c>
      <c r="M144" s="15">
        <f>+K144+L144</f>
        <v>97440</v>
      </c>
      <c r="N144" s="72">
        <v>0</v>
      </c>
      <c r="O144" s="15">
        <f>+M144+N144</f>
        <v>97440</v>
      </c>
      <c r="P144" s="72">
        <v>0</v>
      </c>
      <c r="Q144" s="15">
        <f>+O144+P144</f>
        <v>97440</v>
      </c>
      <c r="R144" s="72">
        <v>0</v>
      </c>
      <c r="S144" s="15">
        <f>+Q144+R144</f>
        <v>97440</v>
      </c>
      <c r="T144" s="72">
        <v>0</v>
      </c>
      <c r="U144" s="15">
        <f>+S144+T144</f>
        <v>97440</v>
      </c>
      <c r="V144" s="72">
        <v>0</v>
      </c>
      <c r="W144" s="15">
        <f>+U144+V144</f>
        <v>97440</v>
      </c>
      <c r="X144" s="72">
        <v>0</v>
      </c>
      <c r="Y144" s="15">
        <f>+W144+X144</f>
        <v>97440</v>
      </c>
      <c r="Z144" s="72">
        <v>0</v>
      </c>
      <c r="AA144" s="15">
        <f>+Y144+Z144</f>
        <v>97440</v>
      </c>
      <c r="AB144" s="72">
        <v>0</v>
      </c>
      <c r="AC144" s="15">
        <f>+AA144+AB144</f>
        <v>97440</v>
      </c>
    </row>
    <row r="145" spans="2:29" ht="15">
      <c r="B145" s="57">
        <v>3651</v>
      </c>
      <c r="C145" s="14" t="s">
        <v>242</v>
      </c>
      <c r="D145" s="94">
        <f>+PRESUPACUM!D145</f>
        <v>0</v>
      </c>
      <c r="E145" s="94">
        <f>+PRESUPACUM!E145</f>
        <v>0</v>
      </c>
      <c r="F145" s="72">
        <v>0</v>
      </c>
      <c r="G145" s="59">
        <f>+F145</f>
        <v>0</v>
      </c>
      <c r="H145" s="72">
        <v>0</v>
      </c>
      <c r="I145" s="15">
        <f>+G145+H145</f>
        <v>0</v>
      </c>
      <c r="J145" s="72">
        <v>0</v>
      </c>
      <c r="K145" s="15">
        <f>+I145+J145</f>
        <v>0</v>
      </c>
      <c r="L145" s="72">
        <v>0</v>
      </c>
      <c r="M145" s="15">
        <f>+K145+L145</f>
        <v>0</v>
      </c>
      <c r="N145" s="72">
        <v>0</v>
      </c>
      <c r="O145" s="15">
        <f>+M145+N145</f>
        <v>0</v>
      </c>
      <c r="P145" s="72">
        <v>0</v>
      </c>
      <c r="Q145" s="15">
        <f>+O145+P145</f>
        <v>0</v>
      </c>
      <c r="R145" s="72">
        <v>0</v>
      </c>
      <c r="S145" s="15">
        <f>+Q145+R145</f>
        <v>0</v>
      </c>
      <c r="T145" s="72">
        <v>0</v>
      </c>
      <c r="U145" s="15">
        <f>+S145+T145</f>
        <v>0</v>
      </c>
      <c r="V145" s="72">
        <v>0</v>
      </c>
      <c r="W145" s="15">
        <f>+U145+V145</f>
        <v>0</v>
      </c>
      <c r="X145" s="72">
        <v>0</v>
      </c>
      <c r="Y145" s="15">
        <f>+W145+X145</f>
        <v>0</v>
      </c>
      <c r="Z145" s="72">
        <v>0</v>
      </c>
      <c r="AA145" s="15">
        <f>+Y145+Z145</f>
        <v>0</v>
      </c>
      <c r="AB145" s="72">
        <v>0</v>
      </c>
      <c r="AC145" s="15">
        <f>+AA145+AB145</f>
        <v>0</v>
      </c>
    </row>
    <row r="146" spans="2:29" ht="15">
      <c r="B146" s="57">
        <v>3661</v>
      </c>
      <c r="C146" s="14" t="s">
        <v>224</v>
      </c>
      <c r="D146" s="94">
        <f>+PRESUPACUM!D146</f>
        <v>304179.84</v>
      </c>
      <c r="E146" s="94">
        <f>+PRESUPACUM!E146</f>
        <v>304179.84</v>
      </c>
      <c r="F146" s="72">
        <v>25348.32</v>
      </c>
      <c r="G146" s="59">
        <f>+F146</f>
        <v>25348.32</v>
      </c>
      <c r="H146" s="72">
        <v>25348.32</v>
      </c>
      <c r="I146" s="15">
        <f>+G146+H146</f>
        <v>50696.64</v>
      </c>
      <c r="J146" s="72">
        <v>25348.32</v>
      </c>
      <c r="K146" s="15">
        <f>+I146+J146</f>
        <v>76044.95999999999</v>
      </c>
      <c r="L146" s="72">
        <v>0</v>
      </c>
      <c r="M146" s="15">
        <f>+K146+L146</f>
        <v>76044.95999999999</v>
      </c>
      <c r="N146" s="72">
        <v>0</v>
      </c>
      <c r="O146" s="15">
        <f>+M146+N146</f>
        <v>76044.95999999999</v>
      </c>
      <c r="P146" s="72">
        <v>0</v>
      </c>
      <c r="Q146" s="15">
        <f>+O146+P146</f>
        <v>76044.95999999999</v>
      </c>
      <c r="R146" s="72">
        <v>0</v>
      </c>
      <c r="S146" s="15">
        <f>+Q146+R146</f>
        <v>76044.95999999999</v>
      </c>
      <c r="T146" s="72">
        <v>0</v>
      </c>
      <c r="U146" s="15">
        <f>+S146+T146</f>
        <v>76044.95999999999</v>
      </c>
      <c r="V146" s="72">
        <v>0</v>
      </c>
      <c r="W146" s="15">
        <f>+U146+V146</f>
        <v>76044.95999999999</v>
      </c>
      <c r="X146" s="72">
        <v>0</v>
      </c>
      <c r="Y146" s="15">
        <f>+W146+X146</f>
        <v>76044.95999999999</v>
      </c>
      <c r="Z146" s="72">
        <v>0</v>
      </c>
      <c r="AA146" s="15">
        <f>+Y146+Z146</f>
        <v>76044.95999999999</v>
      </c>
      <c r="AB146" s="72">
        <v>0</v>
      </c>
      <c r="AC146" s="15">
        <f>+AA146+AB146</f>
        <v>76044.95999999999</v>
      </c>
    </row>
    <row r="147" spans="4:29" ht="15">
      <c r="D147" s="58"/>
      <c r="E147" s="58"/>
      <c r="F147" s="15"/>
      <c r="G147" s="20"/>
      <c r="H147" s="15"/>
      <c r="I147" s="20"/>
      <c r="J147" s="15"/>
      <c r="K147" s="20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</row>
    <row r="148" spans="2:29" ht="15.75">
      <c r="B148" s="69">
        <v>3700</v>
      </c>
      <c r="C148" s="67" t="s">
        <v>157</v>
      </c>
      <c r="D148" s="92">
        <f aca="true" t="shared" si="110" ref="D148:AC148">SUM(D149:D154)</f>
        <v>50000</v>
      </c>
      <c r="E148" s="92">
        <f>SUM(E149:E154)</f>
        <v>64974.4</v>
      </c>
      <c r="F148" s="70">
        <f t="shared" si="110"/>
        <v>0</v>
      </c>
      <c r="G148" s="70">
        <f t="shared" si="110"/>
        <v>0</v>
      </c>
      <c r="H148" s="70">
        <f>SUM(H149:H154)</f>
        <v>4211.86</v>
      </c>
      <c r="I148" s="70">
        <f t="shared" si="110"/>
        <v>4211.86</v>
      </c>
      <c r="J148" s="70">
        <f>SUM(J149:J154)</f>
        <v>1138</v>
      </c>
      <c r="K148" s="70">
        <f t="shared" si="110"/>
        <v>5349.86</v>
      </c>
      <c r="L148" s="70">
        <f t="shared" si="110"/>
        <v>0</v>
      </c>
      <c r="M148" s="70">
        <f t="shared" si="110"/>
        <v>5349.86</v>
      </c>
      <c r="N148" s="70">
        <f>SUM(N149:N154)</f>
        <v>0</v>
      </c>
      <c r="O148" s="70">
        <f t="shared" si="110"/>
        <v>5349.86</v>
      </c>
      <c r="P148" s="70">
        <f>SUM(P149:P154)</f>
        <v>0</v>
      </c>
      <c r="Q148" s="70">
        <f t="shared" si="110"/>
        <v>5349.86</v>
      </c>
      <c r="R148" s="70">
        <f>SUM(R149:R154)</f>
        <v>0</v>
      </c>
      <c r="S148" s="70">
        <f t="shared" si="110"/>
        <v>5349.86</v>
      </c>
      <c r="T148" s="70">
        <f t="shared" si="110"/>
        <v>0</v>
      </c>
      <c r="U148" s="70">
        <f t="shared" si="110"/>
        <v>5349.86</v>
      </c>
      <c r="V148" s="70">
        <f>SUM(V149:V154)</f>
        <v>0</v>
      </c>
      <c r="W148" s="70">
        <f t="shared" si="110"/>
        <v>5349.86</v>
      </c>
      <c r="X148" s="70">
        <f>SUM(X149:X154)</f>
        <v>0</v>
      </c>
      <c r="Y148" s="70">
        <f t="shared" si="110"/>
        <v>5349.86</v>
      </c>
      <c r="Z148" s="70">
        <f t="shared" si="110"/>
        <v>0</v>
      </c>
      <c r="AA148" s="70">
        <f t="shared" si="110"/>
        <v>5349.86</v>
      </c>
      <c r="AB148" s="70">
        <f>SUM(AB149:AB154)</f>
        <v>0</v>
      </c>
      <c r="AC148" s="70">
        <f t="shared" si="110"/>
        <v>5349.86</v>
      </c>
    </row>
    <row r="149" spans="2:29" ht="15">
      <c r="B149" s="57">
        <v>3711</v>
      </c>
      <c r="C149" s="14" t="s">
        <v>158</v>
      </c>
      <c r="D149" s="93">
        <f>+PRESUPACUM!D149</f>
        <v>0</v>
      </c>
      <c r="E149" s="93">
        <f>+PRESUPACUM!E149</f>
        <v>0</v>
      </c>
      <c r="F149" s="17">
        <v>0</v>
      </c>
      <c r="G149" s="59">
        <f aca="true" t="shared" si="111" ref="G149:G154">+F149</f>
        <v>0</v>
      </c>
      <c r="H149" s="17">
        <v>0</v>
      </c>
      <c r="I149" s="15">
        <f aca="true" t="shared" si="112" ref="I149:I154">+G149+H149</f>
        <v>0</v>
      </c>
      <c r="J149" s="17">
        <v>0</v>
      </c>
      <c r="K149" s="15">
        <f aca="true" t="shared" si="113" ref="K149:K154">+I149+J149</f>
        <v>0</v>
      </c>
      <c r="L149" s="17">
        <v>0</v>
      </c>
      <c r="M149" s="15">
        <f aca="true" t="shared" si="114" ref="M149:M154">+K149+L149</f>
        <v>0</v>
      </c>
      <c r="N149" s="17">
        <v>0</v>
      </c>
      <c r="O149" s="15">
        <f aca="true" t="shared" si="115" ref="O149:O154">+M149+N149</f>
        <v>0</v>
      </c>
      <c r="P149" s="17">
        <v>0</v>
      </c>
      <c r="Q149" s="15">
        <f aca="true" t="shared" si="116" ref="Q149:Q154">+O149+P149</f>
        <v>0</v>
      </c>
      <c r="R149" s="17">
        <v>0</v>
      </c>
      <c r="S149" s="15">
        <f aca="true" t="shared" si="117" ref="S149:S154">+Q149+R149</f>
        <v>0</v>
      </c>
      <c r="T149" s="17">
        <v>0</v>
      </c>
      <c r="U149" s="15">
        <f aca="true" t="shared" si="118" ref="U149:U154">+S149+T149</f>
        <v>0</v>
      </c>
      <c r="V149" s="17">
        <v>0</v>
      </c>
      <c r="W149" s="15">
        <f aca="true" t="shared" si="119" ref="W149:W154">+U149+V149</f>
        <v>0</v>
      </c>
      <c r="X149" s="17">
        <v>0</v>
      </c>
      <c r="Y149" s="15">
        <f aca="true" t="shared" si="120" ref="Y149:Y154">+W149+X149</f>
        <v>0</v>
      </c>
      <c r="Z149" s="17">
        <v>0</v>
      </c>
      <c r="AA149" s="15">
        <f aca="true" t="shared" si="121" ref="AA149:AA154">+Y149+Z149</f>
        <v>0</v>
      </c>
      <c r="AB149" s="17">
        <v>0</v>
      </c>
      <c r="AC149" s="15">
        <f aca="true" t="shared" si="122" ref="AC149:AC154">+AA149+AB149</f>
        <v>0</v>
      </c>
    </row>
    <row r="150" spans="2:29" ht="15">
      <c r="B150" s="57">
        <v>3721</v>
      </c>
      <c r="C150" s="14" t="s">
        <v>159</v>
      </c>
      <c r="D150" s="93">
        <f>+PRESUPACUM!D150</f>
        <v>0</v>
      </c>
      <c r="E150" s="93">
        <f>+PRESUPACUM!E150</f>
        <v>581.4</v>
      </c>
      <c r="F150" s="17">
        <v>0</v>
      </c>
      <c r="G150" s="59">
        <f t="shared" si="111"/>
        <v>0</v>
      </c>
      <c r="H150" s="17">
        <v>0</v>
      </c>
      <c r="I150" s="15">
        <f t="shared" si="112"/>
        <v>0</v>
      </c>
      <c r="J150" s="17">
        <v>0</v>
      </c>
      <c r="K150" s="15">
        <f t="shared" si="113"/>
        <v>0</v>
      </c>
      <c r="L150" s="17">
        <v>0</v>
      </c>
      <c r="M150" s="15">
        <f t="shared" si="114"/>
        <v>0</v>
      </c>
      <c r="N150" s="17">
        <v>0</v>
      </c>
      <c r="O150" s="15">
        <f t="shared" si="115"/>
        <v>0</v>
      </c>
      <c r="P150" s="17">
        <v>0</v>
      </c>
      <c r="Q150" s="15">
        <f t="shared" si="116"/>
        <v>0</v>
      </c>
      <c r="R150" s="17">
        <v>0</v>
      </c>
      <c r="S150" s="15">
        <f t="shared" si="117"/>
        <v>0</v>
      </c>
      <c r="T150" s="17">
        <v>0</v>
      </c>
      <c r="U150" s="15">
        <f t="shared" si="118"/>
        <v>0</v>
      </c>
      <c r="V150" s="17">
        <v>0</v>
      </c>
      <c r="W150" s="15">
        <f t="shared" si="119"/>
        <v>0</v>
      </c>
      <c r="X150" s="17">
        <v>0</v>
      </c>
      <c r="Y150" s="15">
        <f t="shared" si="120"/>
        <v>0</v>
      </c>
      <c r="Z150" s="17">
        <v>0</v>
      </c>
      <c r="AA150" s="15">
        <f t="shared" si="121"/>
        <v>0</v>
      </c>
      <c r="AB150" s="17">
        <v>0</v>
      </c>
      <c r="AC150" s="15">
        <f t="shared" si="122"/>
        <v>0</v>
      </c>
    </row>
    <row r="151" spans="2:29" ht="15">
      <c r="B151" s="57">
        <v>3722</v>
      </c>
      <c r="C151" s="14" t="s">
        <v>194</v>
      </c>
      <c r="D151" s="93">
        <f>+PRESUPACUM!D151</f>
        <v>0</v>
      </c>
      <c r="E151" s="93">
        <f>+PRESUPACUM!E151</f>
        <v>3517</v>
      </c>
      <c r="F151" s="17">
        <v>0</v>
      </c>
      <c r="G151" s="59">
        <f t="shared" si="111"/>
        <v>0</v>
      </c>
      <c r="H151" s="17">
        <v>2379</v>
      </c>
      <c r="I151" s="15">
        <f t="shared" si="112"/>
        <v>2379</v>
      </c>
      <c r="J151" s="17">
        <v>1138</v>
      </c>
      <c r="K151" s="15">
        <f t="shared" si="113"/>
        <v>3517</v>
      </c>
      <c r="L151" s="17">
        <v>0</v>
      </c>
      <c r="M151" s="15">
        <f t="shared" si="114"/>
        <v>3517</v>
      </c>
      <c r="N151" s="17">
        <v>0</v>
      </c>
      <c r="O151" s="15">
        <f t="shared" si="115"/>
        <v>3517</v>
      </c>
      <c r="P151" s="17">
        <v>0</v>
      </c>
      <c r="Q151" s="15">
        <f t="shared" si="116"/>
        <v>3517</v>
      </c>
      <c r="R151" s="17">
        <v>0</v>
      </c>
      <c r="S151" s="15">
        <f t="shared" si="117"/>
        <v>3517</v>
      </c>
      <c r="T151" s="17">
        <v>0</v>
      </c>
      <c r="U151" s="15">
        <f t="shared" si="118"/>
        <v>3517</v>
      </c>
      <c r="V151" s="17">
        <v>0</v>
      </c>
      <c r="W151" s="15">
        <f t="shared" si="119"/>
        <v>3517</v>
      </c>
      <c r="X151" s="17">
        <v>0</v>
      </c>
      <c r="Y151" s="15">
        <f t="shared" si="120"/>
        <v>3517</v>
      </c>
      <c r="Z151" s="17">
        <v>0</v>
      </c>
      <c r="AA151" s="15">
        <f t="shared" si="121"/>
        <v>3517</v>
      </c>
      <c r="AB151" s="17">
        <v>0</v>
      </c>
      <c r="AC151" s="15">
        <f t="shared" si="122"/>
        <v>3517</v>
      </c>
    </row>
    <row r="152" spans="2:29" ht="15">
      <c r="B152" s="57">
        <v>3751</v>
      </c>
      <c r="C152" s="14" t="s">
        <v>160</v>
      </c>
      <c r="D152" s="93">
        <f>+PRESUPACUM!D152</f>
        <v>50000</v>
      </c>
      <c r="E152" s="93">
        <f>+PRESUPACUM!E152</f>
        <v>60876</v>
      </c>
      <c r="F152" s="17">
        <v>0</v>
      </c>
      <c r="G152" s="59">
        <f t="shared" si="111"/>
        <v>0</v>
      </c>
      <c r="H152" s="17">
        <v>1832.86</v>
      </c>
      <c r="I152" s="15">
        <f t="shared" si="112"/>
        <v>1832.86</v>
      </c>
      <c r="J152" s="17">
        <v>0</v>
      </c>
      <c r="K152" s="15">
        <f t="shared" si="113"/>
        <v>1832.86</v>
      </c>
      <c r="L152" s="17">
        <v>0</v>
      </c>
      <c r="M152" s="15">
        <f t="shared" si="114"/>
        <v>1832.86</v>
      </c>
      <c r="N152" s="17">
        <v>0</v>
      </c>
      <c r="O152" s="15">
        <f t="shared" si="115"/>
        <v>1832.86</v>
      </c>
      <c r="P152" s="17">
        <v>0</v>
      </c>
      <c r="Q152" s="15">
        <f t="shared" si="116"/>
        <v>1832.86</v>
      </c>
      <c r="R152" s="17">
        <v>0</v>
      </c>
      <c r="S152" s="15">
        <f t="shared" si="117"/>
        <v>1832.86</v>
      </c>
      <c r="T152" s="17">
        <v>0</v>
      </c>
      <c r="U152" s="15">
        <f t="shared" si="118"/>
        <v>1832.86</v>
      </c>
      <c r="V152" s="17">
        <v>0</v>
      </c>
      <c r="W152" s="15">
        <f t="shared" si="119"/>
        <v>1832.86</v>
      </c>
      <c r="X152" s="17">
        <v>0</v>
      </c>
      <c r="Y152" s="15">
        <f t="shared" si="120"/>
        <v>1832.86</v>
      </c>
      <c r="Z152" s="17">
        <v>0</v>
      </c>
      <c r="AA152" s="15">
        <f t="shared" si="121"/>
        <v>1832.86</v>
      </c>
      <c r="AB152" s="17">
        <v>0</v>
      </c>
      <c r="AC152" s="15">
        <f t="shared" si="122"/>
        <v>1832.86</v>
      </c>
    </row>
    <row r="153" spans="2:29" ht="15">
      <c r="B153" s="57">
        <v>3761</v>
      </c>
      <c r="C153" s="14" t="s">
        <v>162</v>
      </c>
      <c r="D153" s="93">
        <f>+PRESUPACUM!D153</f>
        <v>0</v>
      </c>
      <c r="E153" s="93">
        <f>+PRESUPACUM!E153</f>
        <v>0</v>
      </c>
      <c r="F153" s="17">
        <v>0</v>
      </c>
      <c r="G153" s="59">
        <f t="shared" si="111"/>
        <v>0</v>
      </c>
      <c r="H153" s="17">
        <v>0</v>
      </c>
      <c r="I153" s="15">
        <f t="shared" si="112"/>
        <v>0</v>
      </c>
      <c r="J153" s="17">
        <v>0</v>
      </c>
      <c r="K153" s="15">
        <f t="shared" si="113"/>
        <v>0</v>
      </c>
      <c r="L153" s="17">
        <v>0</v>
      </c>
      <c r="M153" s="15">
        <f t="shared" si="114"/>
        <v>0</v>
      </c>
      <c r="N153" s="17">
        <v>0</v>
      </c>
      <c r="O153" s="15">
        <f t="shared" si="115"/>
        <v>0</v>
      </c>
      <c r="P153" s="17">
        <v>0</v>
      </c>
      <c r="Q153" s="15">
        <f t="shared" si="116"/>
        <v>0</v>
      </c>
      <c r="R153" s="17">
        <v>0</v>
      </c>
      <c r="S153" s="15">
        <f t="shared" si="117"/>
        <v>0</v>
      </c>
      <c r="T153" s="17">
        <v>0</v>
      </c>
      <c r="U153" s="15">
        <f t="shared" si="118"/>
        <v>0</v>
      </c>
      <c r="V153" s="17">
        <v>0</v>
      </c>
      <c r="W153" s="15">
        <f t="shared" si="119"/>
        <v>0</v>
      </c>
      <c r="X153" s="17">
        <v>0</v>
      </c>
      <c r="Y153" s="15">
        <f t="shared" si="120"/>
        <v>0</v>
      </c>
      <c r="Z153" s="17">
        <v>0</v>
      </c>
      <c r="AA153" s="15">
        <f t="shared" si="121"/>
        <v>0</v>
      </c>
      <c r="AB153" s="17">
        <v>0</v>
      </c>
      <c r="AC153" s="15">
        <f t="shared" si="122"/>
        <v>0</v>
      </c>
    </row>
    <row r="154" spans="2:29" ht="15">
      <c r="B154" s="57">
        <v>3791</v>
      </c>
      <c r="C154" s="14" t="s">
        <v>161</v>
      </c>
      <c r="D154" s="93">
        <f>+PRESUPACUM!D154</f>
        <v>0</v>
      </c>
      <c r="E154" s="93">
        <f>+PRESUPACUM!E154</f>
        <v>0</v>
      </c>
      <c r="F154" s="17">
        <v>0</v>
      </c>
      <c r="G154" s="59">
        <f t="shared" si="111"/>
        <v>0</v>
      </c>
      <c r="H154" s="17">
        <v>0</v>
      </c>
      <c r="I154" s="15">
        <f t="shared" si="112"/>
        <v>0</v>
      </c>
      <c r="J154" s="17">
        <v>0</v>
      </c>
      <c r="K154" s="15">
        <f t="shared" si="113"/>
        <v>0</v>
      </c>
      <c r="L154" s="17">
        <v>0</v>
      </c>
      <c r="M154" s="15">
        <f t="shared" si="114"/>
        <v>0</v>
      </c>
      <c r="N154" s="17">
        <v>0</v>
      </c>
      <c r="O154" s="15">
        <f t="shared" si="115"/>
        <v>0</v>
      </c>
      <c r="P154" s="17">
        <v>0</v>
      </c>
      <c r="Q154" s="15">
        <f t="shared" si="116"/>
        <v>0</v>
      </c>
      <c r="R154" s="17">
        <v>0</v>
      </c>
      <c r="S154" s="15">
        <f t="shared" si="117"/>
        <v>0</v>
      </c>
      <c r="T154" s="17">
        <v>0</v>
      </c>
      <c r="U154" s="15">
        <f t="shared" si="118"/>
        <v>0</v>
      </c>
      <c r="V154" s="17">
        <v>0</v>
      </c>
      <c r="W154" s="15">
        <f t="shared" si="119"/>
        <v>0</v>
      </c>
      <c r="X154" s="17">
        <v>0</v>
      </c>
      <c r="Y154" s="15">
        <f t="shared" si="120"/>
        <v>0</v>
      </c>
      <c r="Z154" s="17">
        <v>0</v>
      </c>
      <c r="AA154" s="15">
        <f t="shared" si="121"/>
        <v>0</v>
      </c>
      <c r="AB154" s="17">
        <v>0</v>
      </c>
      <c r="AC154" s="15">
        <f t="shared" si="122"/>
        <v>0</v>
      </c>
    </row>
    <row r="155" spans="2:29" ht="15">
      <c r="B155" s="57"/>
      <c r="C155" s="14"/>
      <c r="D155" s="93"/>
      <c r="E155" s="93"/>
      <c r="F155" s="17"/>
      <c r="G155" s="59"/>
      <c r="H155" s="17"/>
      <c r="I155" s="15"/>
      <c r="J155" s="17"/>
      <c r="K155" s="15"/>
      <c r="L155" s="17"/>
      <c r="M155" s="15"/>
      <c r="N155" s="17"/>
      <c r="O155" s="15"/>
      <c r="P155" s="17"/>
      <c r="Q155" s="15"/>
      <c r="R155" s="17"/>
      <c r="S155" s="15"/>
      <c r="T155" s="17"/>
      <c r="U155" s="15"/>
      <c r="V155" s="17"/>
      <c r="W155" s="15"/>
      <c r="X155" s="17"/>
      <c r="Y155" s="15"/>
      <c r="Z155" s="17"/>
      <c r="AA155" s="15"/>
      <c r="AB155" s="17"/>
      <c r="AC155" s="15"/>
    </row>
    <row r="156" spans="2:29" ht="15.75">
      <c r="B156" s="69">
        <v>3800</v>
      </c>
      <c r="C156" s="67" t="s">
        <v>51</v>
      </c>
      <c r="D156" s="92">
        <f aca="true" t="shared" si="123" ref="D156:AC156">SUM(D157:D160)</f>
        <v>1099200</v>
      </c>
      <c r="E156" s="92">
        <f t="shared" si="123"/>
        <v>1179368.1</v>
      </c>
      <c r="F156" s="92">
        <f t="shared" si="123"/>
        <v>0</v>
      </c>
      <c r="G156" s="92">
        <f t="shared" si="123"/>
        <v>0</v>
      </c>
      <c r="H156" s="92">
        <f>SUM(H157:H160)</f>
        <v>70683.51</v>
      </c>
      <c r="I156" s="92">
        <f t="shared" si="123"/>
        <v>70683.51</v>
      </c>
      <c r="J156" s="92">
        <f>SUM(J157:J160)</f>
        <v>77394.51</v>
      </c>
      <c r="K156" s="92">
        <f t="shared" si="123"/>
        <v>148078.02</v>
      </c>
      <c r="L156" s="92">
        <f t="shared" si="123"/>
        <v>0</v>
      </c>
      <c r="M156" s="92">
        <f t="shared" si="123"/>
        <v>148078.02</v>
      </c>
      <c r="N156" s="92">
        <f>SUM(N157:N160)</f>
        <v>0</v>
      </c>
      <c r="O156" s="92">
        <f t="shared" si="123"/>
        <v>148078.02</v>
      </c>
      <c r="P156" s="92">
        <f>SUM(P157:P160)</f>
        <v>0</v>
      </c>
      <c r="Q156" s="92">
        <f t="shared" si="123"/>
        <v>148078.02</v>
      </c>
      <c r="R156" s="92">
        <f>SUM(R157:R160)</f>
        <v>0</v>
      </c>
      <c r="S156" s="92">
        <f t="shared" si="123"/>
        <v>148078.02</v>
      </c>
      <c r="T156" s="92">
        <f t="shared" si="123"/>
        <v>0</v>
      </c>
      <c r="U156" s="92">
        <f t="shared" si="123"/>
        <v>148078.02</v>
      </c>
      <c r="V156" s="92">
        <f>SUM(V157:V160)</f>
        <v>0</v>
      </c>
      <c r="W156" s="92">
        <f t="shared" si="123"/>
        <v>148078.02</v>
      </c>
      <c r="X156" s="92">
        <f>SUM(X157:X160)</f>
        <v>0</v>
      </c>
      <c r="Y156" s="92">
        <f t="shared" si="123"/>
        <v>148078.02</v>
      </c>
      <c r="Z156" s="92">
        <f t="shared" si="123"/>
        <v>0</v>
      </c>
      <c r="AA156" s="92">
        <f t="shared" si="123"/>
        <v>148078.02</v>
      </c>
      <c r="AB156" s="92">
        <f>SUM(AB157:AB160)</f>
        <v>0</v>
      </c>
      <c r="AC156" s="92">
        <f t="shared" si="123"/>
        <v>148078.02</v>
      </c>
    </row>
    <row r="157" spans="2:29" ht="15">
      <c r="B157" s="57">
        <v>3811</v>
      </c>
      <c r="C157" s="14" t="s">
        <v>163</v>
      </c>
      <c r="D157" s="58">
        <f>+PRESUPACUM!D157</f>
        <v>0</v>
      </c>
      <c r="E157" s="58">
        <f>+PRESUPACUM!E157</f>
        <v>0</v>
      </c>
      <c r="F157" s="18">
        <v>0</v>
      </c>
      <c r="G157" s="59">
        <f>+F157</f>
        <v>0</v>
      </c>
      <c r="H157" s="18">
        <v>0</v>
      </c>
      <c r="I157" s="15">
        <f>+G157+H157</f>
        <v>0</v>
      </c>
      <c r="J157" s="18">
        <v>0</v>
      </c>
      <c r="K157" s="15">
        <f>+I157+J157</f>
        <v>0</v>
      </c>
      <c r="L157" s="18">
        <v>0</v>
      </c>
      <c r="M157" s="15">
        <f>+K157+L157</f>
        <v>0</v>
      </c>
      <c r="N157" s="18">
        <v>0</v>
      </c>
      <c r="O157" s="15">
        <f>+M157+N157</f>
        <v>0</v>
      </c>
      <c r="P157" s="18">
        <v>0</v>
      </c>
      <c r="Q157" s="15">
        <f>+O157+P157</f>
        <v>0</v>
      </c>
      <c r="R157" s="18">
        <v>0</v>
      </c>
      <c r="S157" s="15">
        <f>+Q157+R157</f>
        <v>0</v>
      </c>
      <c r="T157" s="18">
        <v>0</v>
      </c>
      <c r="U157" s="15">
        <f>+S157+T157</f>
        <v>0</v>
      </c>
      <c r="V157" s="18">
        <v>0</v>
      </c>
      <c r="W157" s="15">
        <f>+U157+V157</f>
        <v>0</v>
      </c>
      <c r="X157" s="18">
        <v>0</v>
      </c>
      <c r="Y157" s="15">
        <f>+W157+X157</f>
        <v>0</v>
      </c>
      <c r="Z157" s="18">
        <v>0</v>
      </c>
      <c r="AA157" s="15">
        <f>+Y157+Z157</f>
        <v>0</v>
      </c>
      <c r="AB157" s="18">
        <v>0</v>
      </c>
      <c r="AC157" s="15">
        <f>+AA157+AB157</f>
        <v>0</v>
      </c>
    </row>
    <row r="158" spans="2:29" ht="15">
      <c r="B158" s="57">
        <v>3822</v>
      </c>
      <c r="C158" s="14" t="s">
        <v>164</v>
      </c>
      <c r="D158" s="94">
        <f>+PRESUPACUM!D158</f>
        <v>0</v>
      </c>
      <c r="E158" s="94">
        <f>+PRESUPACUM!E158</f>
        <v>0</v>
      </c>
      <c r="F158" s="72">
        <v>0</v>
      </c>
      <c r="G158" s="59">
        <f>+F158</f>
        <v>0</v>
      </c>
      <c r="H158" s="72">
        <v>0</v>
      </c>
      <c r="I158" s="15">
        <f>+G158+H158</f>
        <v>0</v>
      </c>
      <c r="J158" s="72">
        <v>0</v>
      </c>
      <c r="K158" s="15">
        <f>+I158+J158</f>
        <v>0</v>
      </c>
      <c r="L158" s="72">
        <v>0</v>
      </c>
      <c r="M158" s="15">
        <f>+K158+L158</f>
        <v>0</v>
      </c>
      <c r="N158" s="72">
        <v>0</v>
      </c>
      <c r="O158" s="15">
        <f>+M158+N158</f>
        <v>0</v>
      </c>
      <c r="P158" s="72">
        <v>0</v>
      </c>
      <c r="Q158" s="15">
        <f>+O158+P158</f>
        <v>0</v>
      </c>
      <c r="R158" s="72">
        <v>0</v>
      </c>
      <c r="S158" s="15">
        <f>+Q158+R158</f>
        <v>0</v>
      </c>
      <c r="T158" s="72">
        <v>0</v>
      </c>
      <c r="U158" s="15">
        <f>+S158+T158</f>
        <v>0</v>
      </c>
      <c r="V158" s="72">
        <v>0</v>
      </c>
      <c r="W158" s="15">
        <f>+U158+V158</f>
        <v>0</v>
      </c>
      <c r="X158" s="72">
        <v>0</v>
      </c>
      <c r="Y158" s="15">
        <f>+W158+X158</f>
        <v>0</v>
      </c>
      <c r="Z158" s="72">
        <v>0</v>
      </c>
      <c r="AA158" s="15">
        <f>+Y158+Z158</f>
        <v>0</v>
      </c>
      <c r="AB158" s="72">
        <v>0</v>
      </c>
      <c r="AC158" s="15">
        <f>+AA158+AB158</f>
        <v>0</v>
      </c>
    </row>
    <row r="159" spans="2:29" ht="15">
      <c r="B159" s="57">
        <v>3831</v>
      </c>
      <c r="C159" s="14" t="s">
        <v>165</v>
      </c>
      <c r="D159" s="94">
        <f>+PRESUPACUM!D159</f>
        <v>1099200</v>
      </c>
      <c r="E159" s="94">
        <f>+PRESUPACUM!E159</f>
        <v>1179368.1</v>
      </c>
      <c r="F159" s="72">
        <v>0</v>
      </c>
      <c r="G159" s="59">
        <f>+F159</f>
        <v>0</v>
      </c>
      <c r="H159" s="72">
        <v>70683.51</v>
      </c>
      <c r="I159" s="15">
        <f>+G159+H159</f>
        <v>70683.51</v>
      </c>
      <c r="J159" s="72">
        <v>77394.51</v>
      </c>
      <c r="K159" s="15">
        <f>+I159+J159</f>
        <v>148078.02</v>
      </c>
      <c r="L159" s="72">
        <v>0</v>
      </c>
      <c r="M159" s="15">
        <f>+K159+L159</f>
        <v>148078.02</v>
      </c>
      <c r="N159" s="72">
        <v>0</v>
      </c>
      <c r="O159" s="15">
        <f>+M159+N159</f>
        <v>148078.02</v>
      </c>
      <c r="P159" s="72">
        <v>0</v>
      </c>
      <c r="Q159" s="15">
        <f>+O159+P159</f>
        <v>148078.02</v>
      </c>
      <c r="R159" s="72">
        <v>0</v>
      </c>
      <c r="S159" s="15">
        <f>+Q159+R159</f>
        <v>148078.02</v>
      </c>
      <c r="T159" s="72">
        <v>0</v>
      </c>
      <c r="U159" s="15">
        <f>+S159+T159</f>
        <v>148078.02</v>
      </c>
      <c r="V159" s="72">
        <v>0</v>
      </c>
      <c r="W159" s="15">
        <f>+U159+V159</f>
        <v>148078.02</v>
      </c>
      <c r="X159" s="72">
        <v>0</v>
      </c>
      <c r="Y159" s="15">
        <f>+W159+X159</f>
        <v>148078.02</v>
      </c>
      <c r="Z159" s="72">
        <v>0</v>
      </c>
      <c r="AA159" s="15">
        <f>+Y159+Z159</f>
        <v>148078.02</v>
      </c>
      <c r="AB159" s="72">
        <v>0</v>
      </c>
      <c r="AC159" s="15">
        <f>+AA159+AB159</f>
        <v>148078.02</v>
      </c>
    </row>
    <row r="160" spans="2:29" ht="15">
      <c r="B160" s="57">
        <v>3841</v>
      </c>
      <c r="C160" s="14" t="s">
        <v>201</v>
      </c>
      <c r="D160" s="94">
        <f>+PRESUPACUM!D160</f>
        <v>0</v>
      </c>
      <c r="E160" s="94">
        <f>+PRESUPACUM!E160</f>
        <v>0</v>
      </c>
      <c r="F160" s="72">
        <v>0</v>
      </c>
      <c r="G160" s="59">
        <f>+F160</f>
        <v>0</v>
      </c>
      <c r="H160" s="72">
        <v>0</v>
      </c>
      <c r="I160" s="15">
        <f>+G160+H160</f>
        <v>0</v>
      </c>
      <c r="J160" s="72">
        <v>0</v>
      </c>
      <c r="K160" s="15">
        <f>+I160+J160</f>
        <v>0</v>
      </c>
      <c r="L160" s="72">
        <v>0</v>
      </c>
      <c r="M160" s="15">
        <f>+K160+L160</f>
        <v>0</v>
      </c>
      <c r="N160" s="72">
        <v>0</v>
      </c>
      <c r="O160" s="15">
        <f>+M160+N160</f>
        <v>0</v>
      </c>
      <c r="P160" s="72">
        <v>0</v>
      </c>
      <c r="Q160" s="15">
        <f>+O160+P160</f>
        <v>0</v>
      </c>
      <c r="R160" s="72">
        <v>0</v>
      </c>
      <c r="S160" s="15">
        <f>+Q160+R160</f>
        <v>0</v>
      </c>
      <c r="T160" s="72">
        <v>0</v>
      </c>
      <c r="U160" s="15">
        <f>+S160+T160</f>
        <v>0</v>
      </c>
      <c r="V160" s="72">
        <v>0</v>
      </c>
      <c r="W160" s="15">
        <f>+U160+V160</f>
        <v>0</v>
      </c>
      <c r="X160" s="72">
        <v>0</v>
      </c>
      <c r="Y160" s="15">
        <f>+W160+X160</f>
        <v>0</v>
      </c>
      <c r="Z160" s="72">
        <v>0</v>
      </c>
      <c r="AA160" s="15">
        <f>+Y160+Z160</f>
        <v>0</v>
      </c>
      <c r="AB160" s="72">
        <v>0</v>
      </c>
      <c r="AC160" s="15">
        <f>+AA160+AB160</f>
        <v>0</v>
      </c>
    </row>
    <row r="161" spans="2:29" ht="15">
      <c r="B161" s="57"/>
      <c r="C161" s="14"/>
      <c r="D161" s="94"/>
      <c r="E161" s="94"/>
      <c r="F161" s="72"/>
      <c r="G161" s="59"/>
      <c r="H161" s="72"/>
      <c r="I161" s="15"/>
      <c r="J161" s="72"/>
      <c r="K161" s="15"/>
      <c r="L161" s="72"/>
      <c r="M161" s="15"/>
      <c r="N161" s="72"/>
      <c r="O161" s="15"/>
      <c r="P161" s="72"/>
      <c r="Q161" s="15"/>
      <c r="R161" s="72"/>
      <c r="S161" s="15"/>
      <c r="T161" s="72"/>
      <c r="U161" s="15"/>
      <c r="V161" s="72"/>
      <c r="W161" s="15"/>
      <c r="X161" s="72"/>
      <c r="Y161" s="15"/>
      <c r="Z161" s="72"/>
      <c r="AA161" s="15"/>
      <c r="AB161" s="72"/>
      <c r="AC161" s="15"/>
    </row>
    <row r="162" spans="2:29" ht="15.75">
      <c r="B162" s="69">
        <v>3900</v>
      </c>
      <c r="C162" s="67" t="s">
        <v>166</v>
      </c>
      <c r="D162" s="92">
        <f>SUM(D163:D167)</f>
        <v>6472576.53</v>
      </c>
      <c r="E162" s="92">
        <f aca="true" t="shared" si="124" ref="E162:AC162">SUM(E163:E167)</f>
        <v>6472576.53</v>
      </c>
      <c r="F162" s="92">
        <f t="shared" si="124"/>
        <v>337706.08</v>
      </c>
      <c r="G162" s="92">
        <f t="shared" si="124"/>
        <v>337706.08</v>
      </c>
      <c r="H162" s="92">
        <f>SUM(H163:H167)</f>
        <v>339647.84</v>
      </c>
      <c r="I162" s="92">
        <f t="shared" si="124"/>
        <v>677353.92</v>
      </c>
      <c r="J162" s="92">
        <f>SUM(J163:J167)</f>
        <v>395089.79</v>
      </c>
      <c r="K162" s="92">
        <f t="shared" si="124"/>
        <v>1072443.71</v>
      </c>
      <c r="L162" s="92">
        <f t="shared" si="124"/>
        <v>0</v>
      </c>
      <c r="M162" s="92">
        <f t="shared" si="124"/>
        <v>1072443.71</v>
      </c>
      <c r="N162" s="92">
        <f>SUM(N163:N167)</f>
        <v>0</v>
      </c>
      <c r="O162" s="92">
        <f t="shared" si="124"/>
        <v>1072443.71</v>
      </c>
      <c r="P162" s="92">
        <f>SUM(P163:P167)</f>
        <v>0</v>
      </c>
      <c r="Q162" s="92">
        <f t="shared" si="124"/>
        <v>1072443.71</v>
      </c>
      <c r="R162" s="92">
        <f>SUM(R163:R167)</f>
        <v>0</v>
      </c>
      <c r="S162" s="92">
        <f t="shared" si="124"/>
        <v>1072443.71</v>
      </c>
      <c r="T162" s="92">
        <f t="shared" si="124"/>
        <v>0</v>
      </c>
      <c r="U162" s="92">
        <f t="shared" si="124"/>
        <v>1072443.71</v>
      </c>
      <c r="V162" s="92">
        <f>SUM(V163:V167)</f>
        <v>0</v>
      </c>
      <c r="W162" s="92">
        <f t="shared" si="124"/>
        <v>1072443.71</v>
      </c>
      <c r="X162" s="92">
        <f>SUM(X163:X167)</f>
        <v>0</v>
      </c>
      <c r="Y162" s="92">
        <f t="shared" si="124"/>
        <v>1072443.71</v>
      </c>
      <c r="Z162" s="92">
        <f t="shared" si="124"/>
        <v>0</v>
      </c>
      <c r="AA162" s="92">
        <f t="shared" si="124"/>
        <v>1072443.71</v>
      </c>
      <c r="AB162" s="92">
        <f>SUM(AB163:AB167)</f>
        <v>0</v>
      </c>
      <c r="AC162" s="92">
        <f t="shared" si="124"/>
        <v>1072443.71</v>
      </c>
    </row>
    <row r="163" spans="2:29" ht="15">
      <c r="B163" s="57">
        <v>3911</v>
      </c>
      <c r="C163" s="26" t="s">
        <v>237</v>
      </c>
      <c r="D163" s="94">
        <f>+PRESUPACUM!D163</f>
        <v>0</v>
      </c>
      <c r="E163" s="94">
        <f>+PRESUPACUM!E163</f>
        <v>0</v>
      </c>
      <c r="F163" s="72">
        <v>0</v>
      </c>
      <c r="G163" s="59">
        <f>+F163</f>
        <v>0</v>
      </c>
      <c r="H163" s="72">
        <v>0</v>
      </c>
      <c r="I163" s="15">
        <f>+G163+H163</f>
        <v>0</v>
      </c>
      <c r="J163" s="72">
        <v>0</v>
      </c>
      <c r="K163" s="15">
        <f>+I163+J163</f>
        <v>0</v>
      </c>
      <c r="L163" s="72">
        <v>0</v>
      </c>
      <c r="M163" s="15">
        <f>+K163+L163</f>
        <v>0</v>
      </c>
      <c r="N163" s="72">
        <v>0</v>
      </c>
      <c r="O163" s="15">
        <f>+M163+N163</f>
        <v>0</v>
      </c>
      <c r="P163" s="72">
        <v>0</v>
      </c>
      <c r="Q163" s="15">
        <f>+O163+P163</f>
        <v>0</v>
      </c>
      <c r="R163" s="72">
        <v>0</v>
      </c>
      <c r="S163" s="15">
        <f>+Q163+R163</f>
        <v>0</v>
      </c>
      <c r="T163" s="72">
        <v>0</v>
      </c>
      <c r="U163" s="15">
        <f>+S163+T163</f>
        <v>0</v>
      </c>
      <c r="V163" s="72">
        <v>0</v>
      </c>
      <c r="W163" s="15">
        <f>+U163+V163</f>
        <v>0</v>
      </c>
      <c r="X163" s="72">
        <v>0</v>
      </c>
      <c r="Y163" s="15">
        <f>+W163+X163</f>
        <v>0</v>
      </c>
      <c r="Z163" s="72">
        <v>0</v>
      </c>
      <c r="AA163" s="15">
        <f>+Y163+Z163</f>
        <v>0</v>
      </c>
      <c r="AB163" s="72">
        <v>0</v>
      </c>
      <c r="AC163" s="15">
        <f>+AA163+AB163</f>
        <v>0</v>
      </c>
    </row>
    <row r="164" spans="2:29" ht="15">
      <c r="B164" s="57">
        <v>3921</v>
      </c>
      <c r="C164" s="14" t="s">
        <v>167</v>
      </c>
      <c r="D164" s="58">
        <f>+PRESUPACUM!D164</f>
        <v>101890</v>
      </c>
      <c r="E164" s="58">
        <f>+PRESUPACUM!E164</f>
        <v>101890</v>
      </c>
      <c r="F164" s="18">
        <v>0</v>
      </c>
      <c r="G164" s="59">
        <f>+F164</f>
        <v>0</v>
      </c>
      <c r="H164" s="18">
        <v>0</v>
      </c>
      <c r="I164" s="15">
        <f>+G164+H164</f>
        <v>0</v>
      </c>
      <c r="J164" s="18">
        <v>0</v>
      </c>
      <c r="K164" s="15">
        <f>+I164+J164</f>
        <v>0</v>
      </c>
      <c r="L164" s="18">
        <v>0</v>
      </c>
      <c r="M164" s="15">
        <f>+K164+L164</f>
        <v>0</v>
      </c>
      <c r="N164" s="18">
        <v>0</v>
      </c>
      <c r="O164" s="15">
        <f>+M164+N164</f>
        <v>0</v>
      </c>
      <c r="P164" s="18">
        <v>0</v>
      </c>
      <c r="Q164" s="15">
        <f>+O164+P164</f>
        <v>0</v>
      </c>
      <c r="R164" s="18">
        <v>0</v>
      </c>
      <c r="S164" s="15">
        <f>+Q164+R164</f>
        <v>0</v>
      </c>
      <c r="T164" s="18">
        <v>0</v>
      </c>
      <c r="U164" s="15">
        <f>+S164+T164</f>
        <v>0</v>
      </c>
      <c r="V164" s="18">
        <v>0</v>
      </c>
      <c r="W164" s="15">
        <f>+U164+V164</f>
        <v>0</v>
      </c>
      <c r="X164" s="18">
        <v>0</v>
      </c>
      <c r="Y164" s="15">
        <f>+W164+X164</f>
        <v>0</v>
      </c>
      <c r="Z164" s="18">
        <v>0</v>
      </c>
      <c r="AA164" s="15">
        <f>+Y164+Z164</f>
        <v>0</v>
      </c>
      <c r="AB164" s="18">
        <v>0</v>
      </c>
      <c r="AC164" s="15">
        <f>+AA164+AB164</f>
        <v>0</v>
      </c>
    </row>
    <row r="165" spans="2:29" ht="15">
      <c r="B165" s="57">
        <v>3941</v>
      </c>
      <c r="C165" s="14" t="s">
        <v>246</v>
      </c>
      <c r="D165" s="58">
        <f>+PRESUPACUM!D165</f>
        <v>1000000</v>
      </c>
      <c r="E165" s="58">
        <f>+PRESUPACUM!E165</f>
        <v>1000000</v>
      </c>
      <c r="F165" s="18">
        <v>0</v>
      </c>
      <c r="G165" s="59">
        <f>+F165</f>
        <v>0</v>
      </c>
      <c r="H165" s="18">
        <v>0</v>
      </c>
      <c r="I165" s="15">
        <f>+G165+H165</f>
        <v>0</v>
      </c>
      <c r="J165" s="18">
        <v>0</v>
      </c>
      <c r="K165" s="15">
        <f>+I165+J165</f>
        <v>0</v>
      </c>
      <c r="L165" s="18">
        <v>0</v>
      </c>
      <c r="M165" s="15">
        <f>+K165+L165</f>
        <v>0</v>
      </c>
      <c r="N165" s="18">
        <v>0</v>
      </c>
      <c r="O165" s="15">
        <f>+M165+N165</f>
        <v>0</v>
      </c>
      <c r="P165" s="18">
        <v>0</v>
      </c>
      <c r="Q165" s="15">
        <f>+O165+P165</f>
        <v>0</v>
      </c>
      <c r="R165" s="18">
        <v>0</v>
      </c>
      <c r="S165" s="15">
        <f>+Q165+R165</f>
        <v>0</v>
      </c>
      <c r="T165" s="18">
        <v>0</v>
      </c>
      <c r="U165" s="15">
        <f>+S165+T165</f>
        <v>0</v>
      </c>
      <c r="V165" s="18">
        <v>0</v>
      </c>
      <c r="W165" s="15">
        <f>+U165+V165</f>
        <v>0</v>
      </c>
      <c r="X165" s="18">
        <v>0</v>
      </c>
      <c r="Y165" s="15">
        <f>+W165+X165</f>
        <v>0</v>
      </c>
      <c r="Z165" s="18">
        <v>0</v>
      </c>
      <c r="AA165" s="15">
        <f>+Y165+Z165</f>
        <v>0</v>
      </c>
      <c r="AB165" s="18">
        <v>0</v>
      </c>
      <c r="AC165" s="15">
        <f>+AA165+AB165</f>
        <v>0</v>
      </c>
    </row>
    <row r="166" spans="2:29" ht="15">
      <c r="B166" s="57">
        <v>3981</v>
      </c>
      <c r="C166" s="14" t="s">
        <v>3</v>
      </c>
      <c r="D166" s="58">
        <f>+PRESUPACUM!D166</f>
        <v>5370686.53</v>
      </c>
      <c r="E166" s="58">
        <f>+PRESUPACUM!E166</f>
        <v>5370686.53</v>
      </c>
      <c r="F166" s="18">
        <v>337706.08</v>
      </c>
      <c r="G166" s="59">
        <f>+F166</f>
        <v>337706.08</v>
      </c>
      <c r="H166" s="18">
        <v>339647.84</v>
      </c>
      <c r="I166" s="15">
        <f>+G166+H166</f>
        <v>677353.92</v>
      </c>
      <c r="J166" s="18">
        <v>395089.79</v>
      </c>
      <c r="K166" s="15">
        <f>+I166+J166</f>
        <v>1072443.71</v>
      </c>
      <c r="L166" s="18">
        <v>0</v>
      </c>
      <c r="M166" s="15">
        <f>+K166+L166</f>
        <v>1072443.71</v>
      </c>
      <c r="N166" s="18">
        <v>0</v>
      </c>
      <c r="O166" s="15">
        <f>+M166+N166</f>
        <v>1072443.71</v>
      </c>
      <c r="P166" s="18">
        <v>0</v>
      </c>
      <c r="Q166" s="15">
        <f>+O166+P166</f>
        <v>1072443.71</v>
      </c>
      <c r="R166" s="18">
        <v>0</v>
      </c>
      <c r="S166" s="15">
        <f>+Q166+R166</f>
        <v>1072443.71</v>
      </c>
      <c r="T166" s="18">
        <v>0</v>
      </c>
      <c r="U166" s="15">
        <f>+S166+T166</f>
        <v>1072443.71</v>
      </c>
      <c r="V166" s="18">
        <v>0</v>
      </c>
      <c r="W166" s="15">
        <f>+U166+V166</f>
        <v>1072443.71</v>
      </c>
      <c r="X166" s="18">
        <v>0</v>
      </c>
      <c r="Y166" s="15">
        <f>+W166+X166</f>
        <v>1072443.71</v>
      </c>
      <c r="Z166" s="18">
        <v>0</v>
      </c>
      <c r="AA166" s="15">
        <f>+Y166+Z166</f>
        <v>1072443.71</v>
      </c>
      <c r="AB166" s="18">
        <v>0</v>
      </c>
      <c r="AC166" s="15">
        <f>+AA166+AB166</f>
        <v>1072443.71</v>
      </c>
    </row>
    <row r="167" spans="2:29" ht="15">
      <c r="B167" s="57">
        <v>3999</v>
      </c>
      <c r="C167" s="14" t="s">
        <v>166</v>
      </c>
      <c r="D167" s="94">
        <f>+PRESUPACUM!D167</f>
        <v>0</v>
      </c>
      <c r="E167" s="94">
        <f>+PRESUPACUM!E167</f>
        <v>0</v>
      </c>
      <c r="F167" s="72">
        <v>0</v>
      </c>
      <c r="G167" s="59">
        <f>+F167</f>
        <v>0</v>
      </c>
      <c r="H167" s="72">
        <v>0</v>
      </c>
      <c r="I167" s="15">
        <f>+G167+H167</f>
        <v>0</v>
      </c>
      <c r="J167" s="72">
        <v>0</v>
      </c>
      <c r="K167" s="15">
        <f>+I167+J167</f>
        <v>0</v>
      </c>
      <c r="L167" s="72">
        <v>0</v>
      </c>
      <c r="M167" s="15">
        <f>+K167+L167</f>
        <v>0</v>
      </c>
      <c r="N167" s="72">
        <v>0</v>
      </c>
      <c r="O167" s="15">
        <f>+M167+N167</f>
        <v>0</v>
      </c>
      <c r="P167" s="72">
        <v>0</v>
      </c>
      <c r="Q167" s="15">
        <f>+O167+P167</f>
        <v>0</v>
      </c>
      <c r="R167" s="72">
        <v>0</v>
      </c>
      <c r="S167" s="15">
        <f>+Q167+R167</f>
        <v>0</v>
      </c>
      <c r="T167" s="72">
        <v>0</v>
      </c>
      <c r="U167" s="15">
        <f>+S167+T167</f>
        <v>0</v>
      </c>
      <c r="V167" s="72">
        <v>0</v>
      </c>
      <c r="W167" s="15">
        <f>+U167+V167</f>
        <v>0</v>
      </c>
      <c r="X167" s="72">
        <v>0</v>
      </c>
      <c r="Y167" s="15">
        <f>+W167+X167</f>
        <v>0</v>
      </c>
      <c r="Z167" s="72">
        <v>0</v>
      </c>
      <c r="AA167" s="15">
        <f>+Y167+Z167</f>
        <v>0</v>
      </c>
      <c r="AB167" s="72">
        <v>0</v>
      </c>
      <c r="AC167" s="15">
        <f>+AA167+AB167</f>
        <v>0</v>
      </c>
    </row>
    <row r="168" spans="2:29" ht="15">
      <c r="B168" s="57"/>
      <c r="C168" s="14"/>
      <c r="D168" s="58"/>
      <c r="E168" s="58"/>
      <c r="F168" s="15"/>
      <c r="G168" s="20"/>
      <c r="H168" s="15"/>
      <c r="I168" s="20"/>
      <c r="J168" s="15"/>
      <c r="K168" s="20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</row>
    <row r="169" spans="2:29" ht="15.75">
      <c r="B169" s="146"/>
      <c r="C169" s="149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  <c r="AA169" s="150"/>
      <c r="AB169" s="150"/>
      <c r="AC169" s="150"/>
    </row>
    <row r="170" spans="2:29" ht="15">
      <c r="B170" s="147"/>
      <c r="C170" s="148"/>
      <c r="D170" s="151"/>
      <c r="E170" s="151"/>
      <c r="F170" s="152"/>
      <c r="G170" s="153"/>
      <c r="H170" s="152"/>
      <c r="I170" s="154"/>
      <c r="J170" s="152"/>
      <c r="K170" s="154"/>
      <c r="L170" s="152"/>
      <c r="M170" s="154"/>
      <c r="N170" s="152"/>
      <c r="O170" s="154"/>
      <c r="P170" s="152"/>
      <c r="Q170" s="154"/>
      <c r="R170" s="152"/>
      <c r="S170" s="154"/>
      <c r="T170" s="152"/>
      <c r="U170" s="154"/>
      <c r="V170" s="152"/>
      <c r="W170" s="154"/>
      <c r="X170" s="152"/>
      <c r="Y170" s="154"/>
      <c r="Z170" s="152"/>
      <c r="AA170" s="154"/>
      <c r="AB170" s="152"/>
      <c r="AC170" s="154"/>
    </row>
    <row r="171" spans="2:29" ht="15">
      <c r="B171" s="57"/>
      <c r="C171" s="14"/>
      <c r="D171" s="58"/>
      <c r="E171" s="58"/>
      <c r="F171" s="15"/>
      <c r="G171" s="20"/>
      <c r="H171" s="15"/>
      <c r="I171" s="20"/>
      <c r="J171" s="15"/>
      <c r="K171" s="20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</row>
    <row r="172" spans="2:29" ht="16.5" thickBot="1">
      <c r="B172" s="84">
        <v>5000</v>
      </c>
      <c r="C172" s="142" t="s">
        <v>168</v>
      </c>
      <c r="D172" s="97">
        <f aca="true" t="shared" si="125" ref="D172:AC172">+D174+D188+D192</f>
        <v>3436474.5199999996</v>
      </c>
      <c r="E172" s="97">
        <f t="shared" si="125"/>
        <v>3436474.5199999996</v>
      </c>
      <c r="F172" s="97">
        <f t="shared" si="125"/>
        <v>0</v>
      </c>
      <c r="G172" s="97">
        <f t="shared" si="125"/>
        <v>0</v>
      </c>
      <c r="H172" s="97">
        <f>+H174+H188+H192</f>
        <v>0</v>
      </c>
      <c r="I172" s="97">
        <f t="shared" si="125"/>
        <v>0</v>
      </c>
      <c r="J172" s="97">
        <f>+J174+J188+J192</f>
        <v>0</v>
      </c>
      <c r="K172" s="97">
        <f t="shared" si="125"/>
        <v>0</v>
      </c>
      <c r="L172" s="97">
        <f t="shared" si="125"/>
        <v>0</v>
      </c>
      <c r="M172" s="97">
        <f t="shared" si="125"/>
        <v>0</v>
      </c>
      <c r="N172" s="97">
        <f>+N174+N188+N192</f>
        <v>0</v>
      </c>
      <c r="O172" s="97">
        <f t="shared" si="125"/>
        <v>0</v>
      </c>
      <c r="P172" s="97">
        <f>+P174+P188+P192</f>
        <v>0</v>
      </c>
      <c r="Q172" s="97">
        <f t="shared" si="125"/>
        <v>0</v>
      </c>
      <c r="R172" s="97">
        <f>+R174+R188+R192</f>
        <v>0</v>
      </c>
      <c r="S172" s="97">
        <f t="shared" si="125"/>
        <v>0</v>
      </c>
      <c r="T172" s="97">
        <f t="shared" si="125"/>
        <v>0</v>
      </c>
      <c r="U172" s="97">
        <f t="shared" si="125"/>
        <v>0</v>
      </c>
      <c r="V172" s="97">
        <f>+V174+V188+V192</f>
        <v>0</v>
      </c>
      <c r="W172" s="97">
        <f t="shared" si="125"/>
        <v>0</v>
      </c>
      <c r="X172" s="97">
        <f>+X174+X188+X192</f>
        <v>0</v>
      </c>
      <c r="Y172" s="97">
        <f t="shared" si="125"/>
        <v>0</v>
      </c>
      <c r="Z172" s="97">
        <f t="shared" si="125"/>
        <v>0</v>
      </c>
      <c r="AA172" s="97">
        <f t="shared" si="125"/>
        <v>0</v>
      </c>
      <c r="AB172" s="97">
        <f>+AB174+AB188+AB192</f>
        <v>0</v>
      </c>
      <c r="AC172" s="97">
        <f t="shared" si="125"/>
        <v>0</v>
      </c>
    </row>
    <row r="173" spans="4:29" ht="16.5" thickTop="1">
      <c r="D173" s="58"/>
      <c r="E173" s="58"/>
      <c r="F173" s="15"/>
      <c r="G173" s="73"/>
      <c r="H173" s="15"/>
      <c r="I173" s="73"/>
      <c r="J173" s="15"/>
      <c r="K173" s="73"/>
      <c r="L173" s="15"/>
      <c r="M173" s="73"/>
      <c r="N173" s="15"/>
      <c r="O173" s="73"/>
      <c r="P173" s="15"/>
      <c r="Q173" s="73"/>
      <c r="R173" s="15"/>
      <c r="S173" s="73"/>
      <c r="T173" s="15"/>
      <c r="U173" s="73"/>
      <c r="V173" s="15"/>
      <c r="W173" s="73"/>
      <c r="X173" s="15"/>
      <c r="Y173" s="73"/>
      <c r="Z173" s="15"/>
      <c r="AA173" s="73"/>
      <c r="AB173" s="15"/>
      <c r="AC173" s="73"/>
    </row>
    <row r="174" spans="2:29" ht="15.75">
      <c r="B174" s="16">
        <v>5100</v>
      </c>
      <c r="C174" s="77" t="s">
        <v>94</v>
      </c>
      <c r="D174" s="92">
        <f>SUM(D175:D186)</f>
        <v>1942493.3599999999</v>
      </c>
      <c r="E174" s="92">
        <f aca="true" t="shared" si="126" ref="E174:AC174">SUM(E175:E186)</f>
        <v>1942493.3599999999</v>
      </c>
      <c r="F174" s="92">
        <f t="shared" si="126"/>
        <v>0</v>
      </c>
      <c r="G174" s="92">
        <f t="shared" si="126"/>
        <v>0</v>
      </c>
      <c r="H174" s="92">
        <f>SUM(H175:H186)</f>
        <v>0</v>
      </c>
      <c r="I174" s="92">
        <f t="shared" si="126"/>
        <v>0</v>
      </c>
      <c r="J174" s="92">
        <f>SUM(J175:J186)</f>
        <v>0</v>
      </c>
      <c r="K174" s="92">
        <f t="shared" si="126"/>
        <v>0</v>
      </c>
      <c r="L174" s="92">
        <f t="shared" si="126"/>
        <v>0</v>
      </c>
      <c r="M174" s="92">
        <f t="shared" si="126"/>
        <v>0</v>
      </c>
      <c r="N174" s="92">
        <f>SUM(N175:N186)</f>
        <v>0</v>
      </c>
      <c r="O174" s="92">
        <f t="shared" si="126"/>
        <v>0</v>
      </c>
      <c r="P174" s="92">
        <f>SUM(P175:P186)</f>
        <v>0</v>
      </c>
      <c r="Q174" s="92">
        <f t="shared" si="126"/>
        <v>0</v>
      </c>
      <c r="R174" s="92">
        <f>SUM(R175:R186)</f>
        <v>0</v>
      </c>
      <c r="S174" s="92">
        <f t="shared" si="126"/>
        <v>0</v>
      </c>
      <c r="T174" s="92">
        <f t="shared" si="126"/>
        <v>0</v>
      </c>
      <c r="U174" s="92">
        <f t="shared" si="126"/>
        <v>0</v>
      </c>
      <c r="V174" s="92">
        <f>SUM(V175:V186)</f>
        <v>0</v>
      </c>
      <c r="W174" s="92">
        <f t="shared" si="126"/>
        <v>0</v>
      </c>
      <c r="X174" s="92">
        <f>SUM(X175:X186)</f>
        <v>0</v>
      </c>
      <c r="Y174" s="92">
        <f t="shared" si="126"/>
        <v>0</v>
      </c>
      <c r="Z174" s="92">
        <f t="shared" si="126"/>
        <v>0</v>
      </c>
      <c r="AA174" s="92">
        <f t="shared" si="126"/>
        <v>0</v>
      </c>
      <c r="AB174" s="92">
        <f>SUM(AB175:AB186)</f>
        <v>0</v>
      </c>
      <c r="AC174" s="92">
        <f t="shared" si="126"/>
        <v>0</v>
      </c>
    </row>
    <row r="175" spans="2:29" ht="15">
      <c r="B175" s="8">
        <v>5111</v>
      </c>
      <c r="C175" s="8" t="s">
        <v>195</v>
      </c>
      <c r="D175" s="94">
        <f>+PRESUPACUM!D175</f>
        <v>0</v>
      </c>
      <c r="E175" s="94">
        <f>+PRESUPACUM!E175</f>
        <v>0</v>
      </c>
      <c r="F175" s="72">
        <v>0</v>
      </c>
      <c r="G175" s="59">
        <f>+F175</f>
        <v>0</v>
      </c>
      <c r="H175" s="72">
        <v>0</v>
      </c>
      <c r="I175" s="15">
        <f>+G175+H175</f>
        <v>0</v>
      </c>
      <c r="J175" s="72">
        <v>0</v>
      </c>
      <c r="K175" s="15">
        <f>+I175+J175</f>
        <v>0</v>
      </c>
      <c r="L175" s="72">
        <v>0</v>
      </c>
      <c r="M175" s="15">
        <f>+K175+L175</f>
        <v>0</v>
      </c>
      <c r="N175" s="72">
        <v>0</v>
      </c>
      <c r="O175" s="15">
        <f>+M175+N175</f>
        <v>0</v>
      </c>
      <c r="P175" s="72">
        <v>0</v>
      </c>
      <c r="Q175" s="15">
        <f>+O175+P175</f>
        <v>0</v>
      </c>
      <c r="R175" s="72">
        <v>0</v>
      </c>
      <c r="S175" s="15">
        <f>+Q175+R175</f>
        <v>0</v>
      </c>
      <c r="T175" s="72">
        <v>0</v>
      </c>
      <c r="U175" s="15">
        <f>+S175+T175</f>
        <v>0</v>
      </c>
      <c r="V175" s="72">
        <v>0</v>
      </c>
      <c r="W175" s="15">
        <f>+U175+V175</f>
        <v>0</v>
      </c>
      <c r="X175" s="72">
        <v>0</v>
      </c>
      <c r="Y175" s="15">
        <f>+W175+X175</f>
        <v>0</v>
      </c>
      <c r="Z175" s="72">
        <v>0</v>
      </c>
      <c r="AA175" s="15">
        <f>+Y175+Z175</f>
        <v>0</v>
      </c>
      <c r="AB175" s="72">
        <v>0</v>
      </c>
      <c r="AC175" s="15">
        <f>+AA175+AB175</f>
        <v>0</v>
      </c>
    </row>
    <row r="176" spans="2:29" ht="15">
      <c r="B176" s="8">
        <v>5121</v>
      </c>
      <c r="C176" s="8" t="s">
        <v>282</v>
      </c>
      <c r="D176" s="94">
        <f>+PRESUPACUM!D176</f>
        <v>0</v>
      </c>
      <c r="E176" s="94">
        <f>+PRESUPACUM!E176</f>
        <v>0</v>
      </c>
      <c r="F176" s="72">
        <v>0</v>
      </c>
      <c r="G176" s="59">
        <f>+F176</f>
        <v>0</v>
      </c>
      <c r="H176" s="72">
        <v>0</v>
      </c>
      <c r="I176" s="15">
        <f>+G176+H176</f>
        <v>0</v>
      </c>
      <c r="J176" s="72">
        <v>0</v>
      </c>
      <c r="K176" s="15">
        <f>+I176+J176</f>
        <v>0</v>
      </c>
      <c r="L176" s="72">
        <v>0</v>
      </c>
      <c r="M176" s="15">
        <f>+K176+L176</f>
        <v>0</v>
      </c>
      <c r="N176" s="72">
        <v>0</v>
      </c>
      <c r="O176" s="15">
        <f>+M176+N176</f>
        <v>0</v>
      </c>
      <c r="P176" s="72">
        <v>0</v>
      </c>
      <c r="Q176" s="15">
        <f>+O176+P176</f>
        <v>0</v>
      </c>
      <c r="R176" s="72">
        <v>0</v>
      </c>
      <c r="S176" s="15">
        <f>+Q176+R176</f>
        <v>0</v>
      </c>
      <c r="T176" s="72">
        <v>0</v>
      </c>
      <c r="U176" s="15">
        <f>+S176+T176</f>
        <v>0</v>
      </c>
      <c r="V176" s="72">
        <v>0</v>
      </c>
      <c r="W176" s="15">
        <f>+U176+V176</f>
        <v>0</v>
      </c>
      <c r="X176" s="72">
        <v>0</v>
      </c>
      <c r="Y176" s="15">
        <f>+W176+X176</f>
        <v>0</v>
      </c>
      <c r="Z176" s="72">
        <v>0</v>
      </c>
      <c r="AA176" s="15">
        <f>+Y176+Z176</f>
        <v>0</v>
      </c>
      <c r="AB176" s="72">
        <v>0</v>
      </c>
      <c r="AC176" s="15">
        <f>+AA176+AB176</f>
        <v>0</v>
      </c>
    </row>
    <row r="177" spans="2:29" ht="15">
      <c r="B177" s="8">
        <v>5151</v>
      </c>
      <c r="C177" s="8" t="s">
        <v>225</v>
      </c>
      <c r="D177" s="94">
        <f>+PRESUPACUM!D177</f>
        <v>806253.11</v>
      </c>
      <c r="E177" s="94">
        <f>+PRESUPACUM!E177</f>
        <v>806253.11</v>
      </c>
      <c r="F177" s="72">
        <v>0</v>
      </c>
      <c r="G177" s="59">
        <f aca="true" t="shared" si="127" ref="G177:G185">+F177</f>
        <v>0</v>
      </c>
      <c r="H177" s="72">
        <v>0</v>
      </c>
      <c r="I177" s="15">
        <f aca="true" t="shared" si="128" ref="I177:I185">+G177+H177</f>
        <v>0</v>
      </c>
      <c r="J177" s="72">
        <v>0</v>
      </c>
      <c r="K177" s="15">
        <f aca="true" t="shared" si="129" ref="K177:K185">+I177+J177</f>
        <v>0</v>
      </c>
      <c r="L177" s="72">
        <v>0</v>
      </c>
      <c r="M177" s="15">
        <f aca="true" t="shared" si="130" ref="M177:M185">+K177+L177</f>
        <v>0</v>
      </c>
      <c r="N177" s="72">
        <v>0</v>
      </c>
      <c r="O177" s="15">
        <f aca="true" t="shared" si="131" ref="O177:O185">+M177+N177</f>
        <v>0</v>
      </c>
      <c r="P177" s="72">
        <v>0</v>
      </c>
      <c r="Q177" s="15">
        <f aca="true" t="shared" si="132" ref="Q177:Q185">+O177+P177</f>
        <v>0</v>
      </c>
      <c r="R177" s="72">
        <v>0</v>
      </c>
      <c r="S177" s="15">
        <f aca="true" t="shared" si="133" ref="S177:S185">+Q177+R177</f>
        <v>0</v>
      </c>
      <c r="T177" s="72">
        <v>0</v>
      </c>
      <c r="U177" s="15">
        <f aca="true" t="shared" si="134" ref="U177:U185">+S177+T177</f>
        <v>0</v>
      </c>
      <c r="V177" s="72">
        <v>0</v>
      </c>
      <c r="W177" s="15">
        <f aca="true" t="shared" si="135" ref="W177:W185">+U177+V177</f>
        <v>0</v>
      </c>
      <c r="X177" s="72">
        <v>0</v>
      </c>
      <c r="Y177" s="15">
        <f aca="true" t="shared" si="136" ref="Y177:Y185">+W177+X177</f>
        <v>0</v>
      </c>
      <c r="Z177" s="72">
        <v>0</v>
      </c>
      <c r="AA177" s="15">
        <f aca="true" t="shared" si="137" ref="AA177:AA185">+Y177+Z177</f>
        <v>0</v>
      </c>
      <c r="AB177" s="72">
        <v>0</v>
      </c>
      <c r="AC177" s="15">
        <f aca="true" t="shared" si="138" ref="AC177:AC185">+AA177+AB177</f>
        <v>0</v>
      </c>
    </row>
    <row r="178" spans="2:29" ht="15">
      <c r="B178" s="8">
        <v>5191</v>
      </c>
      <c r="C178" s="8" t="s">
        <v>196</v>
      </c>
      <c r="D178" s="94">
        <f>+PRESUPACUM!D178</f>
        <v>996840.25</v>
      </c>
      <c r="E178" s="94">
        <f>+PRESUPACUM!E178</f>
        <v>996840.25</v>
      </c>
      <c r="F178" s="72">
        <v>0</v>
      </c>
      <c r="G178" s="59">
        <f t="shared" si="127"/>
        <v>0</v>
      </c>
      <c r="H178" s="72">
        <v>0</v>
      </c>
      <c r="I178" s="15">
        <f t="shared" si="128"/>
        <v>0</v>
      </c>
      <c r="J178" s="72">
        <v>0</v>
      </c>
      <c r="K178" s="15">
        <f t="shared" si="129"/>
        <v>0</v>
      </c>
      <c r="L178" s="72">
        <v>0</v>
      </c>
      <c r="M178" s="15">
        <f t="shared" si="130"/>
        <v>0</v>
      </c>
      <c r="N178" s="72">
        <v>0</v>
      </c>
      <c r="O178" s="15">
        <f t="shared" si="131"/>
        <v>0</v>
      </c>
      <c r="P178" s="72">
        <v>0</v>
      </c>
      <c r="Q178" s="15">
        <f t="shared" si="132"/>
        <v>0</v>
      </c>
      <c r="R178" s="72">
        <v>0</v>
      </c>
      <c r="S178" s="15">
        <f t="shared" si="133"/>
        <v>0</v>
      </c>
      <c r="T178" s="72">
        <v>0</v>
      </c>
      <c r="U178" s="15">
        <f t="shared" si="134"/>
        <v>0</v>
      </c>
      <c r="V178" s="72">
        <v>0</v>
      </c>
      <c r="W178" s="15">
        <f t="shared" si="135"/>
        <v>0</v>
      </c>
      <c r="X178" s="72">
        <v>0</v>
      </c>
      <c r="Y178" s="15">
        <f t="shared" si="136"/>
        <v>0</v>
      </c>
      <c r="Z178" s="72">
        <v>0</v>
      </c>
      <c r="AA178" s="15">
        <f t="shared" si="137"/>
        <v>0</v>
      </c>
      <c r="AB178" s="72">
        <v>0</v>
      </c>
      <c r="AC178" s="15">
        <f t="shared" si="138"/>
        <v>0</v>
      </c>
    </row>
    <row r="179" spans="2:29" ht="15">
      <c r="B179" s="8">
        <v>5211</v>
      </c>
      <c r="C179" s="8" t="s">
        <v>236</v>
      </c>
      <c r="D179" s="94">
        <f>+PRESUPACUM!D179</f>
        <v>0</v>
      </c>
      <c r="E179" s="94">
        <f>+PRESUPACUM!E179</f>
        <v>0</v>
      </c>
      <c r="F179" s="72">
        <v>0</v>
      </c>
      <c r="G179" s="59">
        <f>+F179</f>
        <v>0</v>
      </c>
      <c r="H179" s="72">
        <v>0</v>
      </c>
      <c r="I179" s="15">
        <f>+G179+H179</f>
        <v>0</v>
      </c>
      <c r="J179" s="72">
        <v>0</v>
      </c>
      <c r="K179" s="15">
        <f>+I179+J179</f>
        <v>0</v>
      </c>
      <c r="L179" s="72">
        <v>0</v>
      </c>
      <c r="M179" s="15">
        <f>+K179+L179</f>
        <v>0</v>
      </c>
      <c r="N179" s="72">
        <v>0</v>
      </c>
      <c r="O179" s="15">
        <f>+M179+N179</f>
        <v>0</v>
      </c>
      <c r="P179" s="72">
        <v>0</v>
      </c>
      <c r="Q179" s="15">
        <f>+O179+P179</f>
        <v>0</v>
      </c>
      <c r="R179" s="72">
        <v>0</v>
      </c>
      <c r="S179" s="15">
        <f>+Q179+R179</f>
        <v>0</v>
      </c>
      <c r="T179" s="72">
        <v>0</v>
      </c>
      <c r="U179" s="15">
        <f>+S179+T179</f>
        <v>0</v>
      </c>
      <c r="V179" s="72">
        <v>0</v>
      </c>
      <c r="W179" s="15">
        <f>+U179+V179</f>
        <v>0</v>
      </c>
      <c r="X179" s="72">
        <v>0</v>
      </c>
      <c r="Y179" s="15">
        <f>+W179+X179</f>
        <v>0</v>
      </c>
      <c r="Z179" s="72">
        <v>0</v>
      </c>
      <c r="AA179" s="15">
        <f>+Y179+Z179</f>
        <v>0</v>
      </c>
      <c r="AB179" s="72">
        <v>0</v>
      </c>
      <c r="AC179" s="15">
        <f>+AA179+AB179</f>
        <v>0</v>
      </c>
    </row>
    <row r="180" spans="2:29" ht="15">
      <c r="B180" s="8">
        <v>5231</v>
      </c>
      <c r="C180" s="8" t="s">
        <v>244</v>
      </c>
      <c r="D180" s="94">
        <f>+PRESUPACUM!D180</f>
        <v>139400</v>
      </c>
      <c r="E180" s="94">
        <f>+PRESUPACUM!E180</f>
        <v>139400</v>
      </c>
      <c r="F180" s="72">
        <v>0</v>
      </c>
      <c r="G180" s="59">
        <f>+F180</f>
        <v>0</v>
      </c>
      <c r="H180" s="72">
        <v>0</v>
      </c>
      <c r="I180" s="15">
        <f>+G180+H180</f>
        <v>0</v>
      </c>
      <c r="J180" s="72">
        <v>0</v>
      </c>
      <c r="K180" s="15">
        <f>+I180+J180</f>
        <v>0</v>
      </c>
      <c r="L180" s="72">
        <v>0</v>
      </c>
      <c r="M180" s="15">
        <f>+K180+L180</f>
        <v>0</v>
      </c>
      <c r="N180" s="72">
        <v>0</v>
      </c>
      <c r="O180" s="15">
        <f>+M180+N180</f>
        <v>0</v>
      </c>
      <c r="P180" s="72">
        <v>0</v>
      </c>
      <c r="Q180" s="15">
        <f>+O180+P180</f>
        <v>0</v>
      </c>
      <c r="R180" s="72">
        <v>0</v>
      </c>
      <c r="S180" s="15">
        <f>+Q180+R180</f>
        <v>0</v>
      </c>
      <c r="T180" s="72">
        <v>0</v>
      </c>
      <c r="U180" s="15">
        <f>+S180+T180</f>
        <v>0</v>
      </c>
      <c r="V180" s="72">
        <v>0</v>
      </c>
      <c r="W180" s="15">
        <f>+U180+V180</f>
        <v>0</v>
      </c>
      <c r="X180" s="72">
        <v>0</v>
      </c>
      <c r="Y180" s="15">
        <f>+W180+X180</f>
        <v>0</v>
      </c>
      <c r="Z180" s="72">
        <v>0</v>
      </c>
      <c r="AA180" s="15">
        <f>+Y180+Z180</f>
        <v>0</v>
      </c>
      <c r="AB180" s="72">
        <v>0</v>
      </c>
      <c r="AC180" s="15">
        <f>+AA180+AB180</f>
        <v>0</v>
      </c>
    </row>
    <row r="181" spans="2:31" ht="15">
      <c r="B181" s="8">
        <v>5413</v>
      </c>
      <c r="C181" s="8" t="s">
        <v>226</v>
      </c>
      <c r="D181" s="94">
        <f>+PRESUPACUM!D181</f>
        <v>0</v>
      </c>
      <c r="E181" s="94">
        <f>+PRESUPACUM!E181</f>
        <v>0</v>
      </c>
      <c r="F181" s="72">
        <v>0</v>
      </c>
      <c r="G181" s="59">
        <f t="shared" si="127"/>
        <v>0</v>
      </c>
      <c r="H181" s="72">
        <v>0</v>
      </c>
      <c r="I181" s="15">
        <f t="shared" si="128"/>
        <v>0</v>
      </c>
      <c r="J181" s="72">
        <v>0</v>
      </c>
      <c r="K181" s="15">
        <f t="shared" si="129"/>
        <v>0</v>
      </c>
      <c r="L181" s="72">
        <v>0</v>
      </c>
      <c r="M181" s="15">
        <f t="shared" si="130"/>
        <v>0</v>
      </c>
      <c r="N181" s="72">
        <v>0</v>
      </c>
      <c r="O181" s="15">
        <f t="shared" si="131"/>
        <v>0</v>
      </c>
      <c r="P181" s="72">
        <v>0</v>
      </c>
      <c r="Q181" s="15">
        <f t="shared" si="132"/>
        <v>0</v>
      </c>
      <c r="R181" s="72">
        <v>0</v>
      </c>
      <c r="S181" s="15">
        <f t="shared" si="133"/>
        <v>0</v>
      </c>
      <c r="T181" s="72">
        <v>0</v>
      </c>
      <c r="U181" s="15">
        <f t="shared" si="134"/>
        <v>0</v>
      </c>
      <c r="V181" s="72">
        <v>0</v>
      </c>
      <c r="W181" s="15">
        <f t="shared" si="135"/>
        <v>0</v>
      </c>
      <c r="X181" s="72">
        <v>0</v>
      </c>
      <c r="Y181" s="15">
        <f t="shared" si="136"/>
        <v>0</v>
      </c>
      <c r="Z181" s="72">
        <v>0</v>
      </c>
      <c r="AA181" s="15">
        <f t="shared" si="137"/>
        <v>0</v>
      </c>
      <c r="AB181" s="72">
        <v>0</v>
      </c>
      <c r="AC181" s="15">
        <f t="shared" si="138"/>
        <v>0</v>
      </c>
      <c r="AE181" s="15"/>
    </row>
    <row r="182" spans="2:29" ht="15">
      <c r="B182" s="8">
        <v>5621</v>
      </c>
      <c r="C182" s="8" t="s">
        <v>277</v>
      </c>
      <c r="D182" s="94">
        <f>+PRESUPACUM!D182</f>
        <v>0</v>
      </c>
      <c r="E182" s="94">
        <f>+PRESUPACUM!E182</f>
        <v>0</v>
      </c>
      <c r="F182" s="72">
        <v>0</v>
      </c>
      <c r="G182" s="59">
        <f>+F182</f>
        <v>0</v>
      </c>
      <c r="H182" s="72">
        <v>0</v>
      </c>
      <c r="I182" s="15">
        <f>+G182+H182</f>
        <v>0</v>
      </c>
      <c r="J182" s="72">
        <v>0</v>
      </c>
      <c r="K182" s="15">
        <f>+I182+J182</f>
        <v>0</v>
      </c>
      <c r="L182" s="72">
        <v>0</v>
      </c>
      <c r="M182" s="15">
        <f>+K182+L182</f>
        <v>0</v>
      </c>
      <c r="N182" s="72">
        <v>0</v>
      </c>
      <c r="O182" s="15">
        <f>+M182+N182</f>
        <v>0</v>
      </c>
      <c r="P182" s="72">
        <v>0</v>
      </c>
      <c r="Q182" s="15">
        <f>+O182+P182</f>
        <v>0</v>
      </c>
      <c r="R182" s="72">
        <v>0</v>
      </c>
      <c r="S182" s="15">
        <f>+Q182+R182</f>
        <v>0</v>
      </c>
      <c r="T182" s="72">
        <v>0</v>
      </c>
      <c r="U182" s="15">
        <f>+S182+T182</f>
        <v>0</v>
      </c>
      <c r="V182" s="72">
        <v>0</v>
      </c>
      <c r="W182" s="15">
        <f>+U182+V182</f>
        <v>0</v>
      </c>
      <c r="X182" s="72">
        <v>0</v>
      </c>
      <c r="Y182" s="15">
        <f>+W182+X182</f>
        <v>0</v>
      </c>
      <c r="Z182" s="72">
        <v>0</v>
      </c>
      <c r="AA182" s="15">
        <f>+Y182+Z182</f>
        <v>0</v>
      </c>
      <c r="AB182" s="72">
        <v>0</v>
      </c>
      <c r="AC182" s="15">
        <f>+AA182+AB182</f>
        <v>0</v>
      </c>
    </row>
    <row r="183" spans="2:29" ht="15">
      <c r="B183" s="8">
        <v>5641</v>
      </c>
      <c r="C183" s="8" t="s">
        <v>197</v>
      </c>
      <c r="D183" s="94">
        <f>+PRESUPACUM!D183</f>
        <v>0</v>
      </c>
      <c r="E183" s="94">
        <f>+PRESUPACUM!E183</f>
        <v>0</v>
      </c>
      <c r="F183" s="72">
        <v>0</v>
      </c>
      <c r="G183" s="59">
        <f t="shared" si="127"/>
        <v>0</v>
      </c>
      <c r="H183" s="72">
        <v>0</v>
      </c>
      <c r="I183" s="15">
        <f t="shared" si="128"/>
        <v>0</v>
      </c>
      <c r="J183" s="72">
        <v>0</v>
      </c>
      <c r="K183" s="15">
        <f t="shared" si="129"/>
        <v>0</v>
      </c>
      <c r="L183" s="72">
        <v>0</v>
      </c>
      <c r="M183" s="15">
        <f t="shared" si="130"/>
        <v>0</v>
      </c>
      <c r="N183" s="72">
        <v>0</v>
      </c>
      <c r="O183" s="15">
        <f t="shared" si="131"/>
        <v>0</v>
      </c>
      <c r="P183" s="72">
        <v>0</v>
      </c>
      <c r="Q183" s="15">
        <f t="shared" si="132"/>
        <v>0</v>
      </c>
      <c r="R183" s="72">
        <v>0</v>
      </c>
      <c r="S183" s="15">
        <f t="shared" si="133"/>
        <v>0</v>
      </c>
      <c r="T183" s="72">
        <v>0</v>
      </c>
      <c r="U183" s="15">
        <f t="shared" si="134"/>
        <v>0</v>
      </c>
      <c r="V183" s="72">
        <v>0</v>
      </c>
      <c r="W183" s="15">
        <f t="shared" si="135"/>
        <v>0</v>
      </c>
      <c r="X183" s="72">
        <v>0</v>
      </c>
      <c r="Y183" s="15">
        <f t="shared" si="136"/>
        <v>0</v>
      </c>
      <c r="Z183" s="72">
        <v>0</v>
      </c>
      <c r="AA183" s="15">
        <f t="shared" si="137"/>
        <v>0</v>
      </c>
      <c r="AB183" s="72">
        <v>0</v>
      </c>
      <c r="AC183" s="15">
        <f t="shared" si="138"/>
        <v>0</v>
      </c>
    </row>
    <row r="184" spans="2:29" ht="15">
      <c r="B184" s="8">
        <v>5651</v>
      </c>
      <c r="C184" s="8" t="s">
        <v>227</v>
      </c>
      <c r="D184" s="94">
        <f>+PRESUPACUM!D184</f>
        <v>0</v>
      </c>
      <c r="E184" s="94">
        <f>+PRESUPACUM!E184</f>
        <v>0</v>
      </c>
      <c r="F184" s="72">
        <v>0</v>
      </c>
      <c r="G184" s="59">
        <f t="shared" si="127"/>
        <v>0</v>
      </c>
      <c r="H184" s="72">
        <v>0</v>
      </c>
      <c r="I184" s="15">
        <f t="shared" si="128"/>
        <v>0</v>
      </c>
      <c r="J184" s="72">
        <v>0</v>
      </c>
      <c r="K184" s="15">
        <f t="shared" si="129"/>
        <v>0</v>
      </c>
      <c r="L184" s="72">
        <v>0</v>
      </c>
      <c r="M184" s="15">
        <f t="shared" si="130"/>
        <v>0</v>
      </c>
      <c r="N184" s="72">
        <v>0</v>
      </c>
      <c r="O184" s="15">
        <f t="shared" si="131"/>
        <v>0</v>
      </c>
      <c r="P184" s="72">
        <v>0</v>
      </c>
      <c r="Q184" s="15">
        <f t="shared" si="132"/>
        <v>0</v>
      </c>
      <c r="R184" s="72">
        <v>0</v>
      </c>
      <c r="S184" s="15">
        <f t="shared" si="133"/>
        <v>0</v>
      </c>
      <c r="T184" s="72">
        <v>0</v>
      </c>
      <c r="U184" s="15">
        <f t="shared" si="134"/>
        <v>0</v>
      </c>
      <c r="V184" s="72">
        <v>0</v>
      </c>
      <c r="W184" s="15">
        <f t="shared" si="135"/>
        <v>0</v>
      </c>
      <c r="X184" s="72">
        <v>0</v>
      </c>
      <c r="Y184" s="15">
        <f t="shared" si="136"/>
        <v>0</v>
      </c>
      <c r="Z184" s="72">
        <v>0</v>
      </c>
      <c r="AA184" s="15">
        <f t="shared" si="137"/>
        <v>0</v>
      </c>
      <c r="AB184" s="72">
        <v>0</v>
      </c>
      <c r="AC184" s="15">
        <f t="shared" si="138"/>
        <v>0</v>
      </c>
    </row>
    <row r="185" spans="2:29" ht="15">
      <c r="B185" s="8">
        <v>5671</v>
      </c>
      <c r="C185" s="8" t="s">
        <v>228</v>
      </c>
      <c r="D185" s="94">
        <f>+PRESUPACUM!D185</f>
        <v>0</v>
      </c>
      <c r="E185" s="94">
        <f>+PRESUPACUM!E185</f>
        <v>0</v>
      </c>
      <c r="F185" s="72">
        <v>0</v>
      </c>
      <c r="G185" s="59">
        <f t="shared" si="127"/>
        <v>0</v>
      </c>
      <c r="H185" s="72">
        <v>0</v>
      </c>
      <c r="I185" s="15">
        <f t="shared" si="128"/>
        <v>0</v>
      </c>
      <c r="J185" s="72">
        <v>0</v>
      </c>
      <c r="K185" s="15">
        <f t="shared" si="129"/>
        <v>0</v>
      </c>
      <c r="L185" s="72">
        <v>0</v>
      </c>
      <c r="M185" s="15">
        <f t="shared" si="130"/>
        <v>0</v>
      </c>
      <c r="N185" s="72">
        <v>0</v>
      </c>
      <c r="O185" s="15">
        <f t="shared" si="131"/>
        <v>0</v>
      </c>
      <c r="P185" s="72">
        <v>0</v>
      </c>
      <c r="Q185" s="15">
        <f t="shared" si="132"/>
        <v>0</v>
      </c>
      <c r="R185" s="72">
        <v>0</v>
      </c>
      <c r="S185" s="15">
        <f t="shared" si="133"/>
        <v>0</v>
      </c>
      <c r="T185" s="72">
        <v>0</v>
      </c>
      <c r="U185" s="15">
        <f t="shared" si="134"/>
        <v>0</v>
      </c>
      <c r="V185" s="72">
        <v>0</v>
      </c>
      <c r="W185" s="15">
        <f t="shared" si="135"/>
        <v>0</v>
      </c>
      <c r="X185" s="72">
        <v>0</v>
      </c>
      <c r="Y185" s="15">
        <f t="shared" si="136"/>
        <v>0</v>
      </c>
      <c r="Z185" s="72">
        <v>0</v>
      </c>
      <c r="AA185" s="15">
        <f t="shared" si="137"/>
        <v>0</v>
      </c>
      <c r="AB185" s="72">
        <v>0</v>
      </c>
      <c r="AC185" s="15">
        <f t="shared" si="138"/>
        <v>0</v>
      </c>
    </row>
    <row r="186" spans="2:29" ht="15">
      <c r="B186" s="8">
        <v>5691</v>
      </c>
      <c r="C186" s="8" t="s">
        <v>233</v>
      </c>
      <c r="D186" s="94">
        <f>+PRESUPACUM!D186</f>
        <v>0</v>
      </c>
      <c r="E186" s="94">
        <f>+PRESUPACUM!E186</f>
        <v>0</v>
      </c>
      <c r="F186" s="72">
        <v>0</v>
      </c>
      <c r="G186" s="59">
        <f>+F186</f>
        <v>0</v>
      </c>
      <c r="H186" s="72">
        <v>0</v>
      </c>
      <c r="I186" s="15">
        <f>+G186+H186</f>
        <v>0</v>
      </c>
      <c r="J186" s="72">
        <v>0</v>
      </c>
      <c r="K186" s="15">
        <f>+I186+J186</f>
        <v>0</v>
      </c>
      <c r="L186" s="72">
        <v>0</v>
      </c>
      <c r="M186" s="15">
        <f>+K186+L186</f>
        <v>0</v>
      </c>
      <c r="N186" s="72">
        <v>0</v>
      </c>
      <c r="O186" s="15">
        <f>+M186+N186</f>
        <v>0</v>
      </c>
      <c r="P186" s="72">
        <v>0</v>
      </c>
      <c r="Q186" s="15">
        <f>+O186+P186</f>
        <v>0</v>
      </c>
      <c r="R186" s="72">
        <v>0</v>
      </c>
      <c r="S186" s="15">
        <f>+Q186+R186</f>
        <v>0</v>
      </c>
      <c r="T186" s="72">
        <v>0</v>
      </c>
      <c r="U186" s="15">
        <f>+S186+T186</f>
        <v>0</v>
      </c>
      <c r="V186" s="72">
        <v>0</v>
      </c>
      <c r="W186" s="15">
        <f>+U186+V186</f>
        <v>0</v>
      </c>
      <c r="X186" s="72">
        <v>0</v>
      </c>
      <c r="Y186" s="15">
        <f>+W186+X186</f>
        <v>0</v>
      </c>
      <c r="Z186" s="72">
        <v>0</v>
      </c>
      <c r="AA186" s="15">
        <f>+Y186+Z186</f>
        <v>0</v>
      </c>
      <c r="AB186" s="72">
        <v>0</v>
      </c>
      <c r="AC186" s="15">
        <f>+AA186+AB186</f>
        <v>0</v>
      </c>
    </row>
    <row r="187" spans="4:29" ht="15">
      <c r="D187" s="94"/>
      <c r="E187" s="94"/>
      <c r="F187" s="72"/>
      <c r="G187" s="59"/>
      <c r="H187" s="72"/>
      <c r="I187" s="15"/>
      <c r="J187" s="72"/>
      <c r="K187" s="15"/>
      <c r="L187" s="72"/>
      <c r="M187" s="15"/>
      <c r="N187" s="72"/>
      <c r="O187" s="15"/>
      <c r="P187" s="72"/>
      <c r="Q187" s="15"/>
      <c r="R187" s="72"/>
      <c r="S187" s="15"/>
      <c r="T187" s="72"/>
      <c r="U187" s="15"/>
      <c r="V187" s="72"/>
      <c r="W187" s="15"/>
      <c r="X187" s="72"/>
      <c r="Y187" s="15"/>
      <c r="Z187" s="72"/>
      <c r="AA187" s="15"/>
      <c r="AB187" s="72"/>
      <c r="AC187" s="15"/>
    </row>
    <row r="188" spans="2:29" ht="15.75">
      <c r="B188" s="16">
        <v>5800</v>
      </c>
      <c r="C188" s="77" t="s">
        <v>169</v>
      </c>
      <c r="D188" s="92">
        <f aca="true" t="shared" si="139" ref="D188:AC188">SUM(D189:D190)</f>
        <v>0</v>
      </c>
      <c r="E188" s="92">
        <f>SUM(E189:E190)</f>
        <v>0</v>
      </c>
      <c r="F188" s="70">
        <f t="shared" si="139"/>
        <v>0</v>
      </c>
      <c r="G188" s="70">
        <f t="shared" si="139"/>
        <v>0</v>
      </c>
      <c r="H188" s="70">
        <f>SUM(H189:H190)</f>
        <v>0</v>
      </c>
      <c r="I188" s="70">
        <f t="shared" si="139"/>
        <v>0</v>
      </c>
      <c r="J188" s="70">
        <f>SUM(J189:J190)</f>
        <v>0</v>
      </c>
      <c r="K188" s="70">
        <f t="shared" si="139"/>
        <v>0</v>
      </c>
      <c r="L188" s="70">
        <f t="shared" si="139"/>
        <v>0</v>
      </c>
      <c r="M188" s="70">
        <f t="shared" si="139"/>
        <v>0</v>
      </c>
      <c r="N188" s="70">
        <f>SUM(N189:N190)</f>
        <v>0</v>
      </c>
      <c r="O188" s="70">
        <f t="shared" si="139"/>
        <v>0</v>
      </c>
      <c r="P188" s="70">
        <f>SUM(P189:P190)</f>
        <v>0</v>
      </c>
      <c r="Q188" s="70">
        <f t="shared" si="139"/>
        <v>0</v>
      </c>
      <c r="R188" s="70">
        <f>SUM(R189:R190)</f>
        <v>0</v>
      </c>
      <c r="S188" s="70">
        <f t="shared" si="139"/>
        <v>0</v>
      </c>
      <c r="T188" s="70">
        <f t="shared" si="139"/>
        <v>0</v>
      </c>
      <c r="U188" s="70">
        <f t="shared" si="139"/>
        <v>0</v>
      </c>
      <c r="V188" s="70">
        <f>SUM(V189:V190)</f>
        <v>0</v>
      </c>
      <c r="W188" s="70">
        <f t="shared" si="139"/>
        <v>0</v>
      </c>
      <c r="X188" s="70">
        <f>SUM(X189:X190)</f>
        <v>0</v>
      </c>
      <c r="Y188" s="70">
        <f t="shared" si="139"/>
        <v>0</v>
      </c>
      <c r="Z188" s="70">
        <f t="shared" si="139"/>
        <v>0</v>
      </c>
      <c r="AA188" s="70">
        <f t="shared" si="139"/>
        <v>0</v>
      </c>
      <c r="AB188" s="70">
        <f>SUM(AB189:AB190)</f>
        <v>0</v>
      </c>
      <c r="AC188" s="70">
        <f t="shared" si="139"/>
        <v>0</v>
      </c>
    </row>
    <row r="189" spans="2:29" ht="15">
      <c r="B189" s="8">
        <v>5831</v>
      </c>
      <c r="C189" s="8" t="s">
        <v>170</v>
      </c>
      <c r="D189" s="93">
        <f>+PRESUPACUM!D189</f>
        <v>0</v>
      </c>
      <c r="E189" s="93">
        <f>+PRESUPACUM!E189</f>
        <v>0</v>
      </c>
      <c r="F189" s="17">
        <v>0</v>
      </c>
      <c r="G189" s="86">
        <f>+F189</f>
        <v>0</v>
      </c>
      <c r="H189" s="17">
        <v>0</v>
      </c>
      <c r="I189" s="18">
        <f>+G189+H189</f>
        <v>0</v>
      </c>
      <c r="J189" s="17">
        <v>0</v>
      </c>
      <c r="K189" s="18">
        <f>+I189+J189</f>
        <v>0</v>
      </c>
      <c r="L189" s="17">
        <v>0</v>
      </c>
      <c r="M189" s="18">
        <f>+K189+L189</f>
        <v>0</v>
      </c>
      <c r="N189" s="17">
        <v>0</v>
      </c>
      <c r="O189" s="18">
        <f>+M189+N189</f>
        <v>0</v>
      </c>
      <c r="P189" s="17">
        <v>0</v>
      </c>
      <c r="Q189" s="18">
        <f>+O189+P189</f>
        <v>0</v>
      </c>
      <c r="R189" s="17">
        <v>0</v>
      </c>
      <c r="S189" s="18">
        <f>+Q189+R189</f>
        <v>0</v>
      </c>
      <c r="T189" s="17">
        <v>0</v>
      </c>
      <c r="U189" s="18">
        <f>+S189+T189</f>
        <v>0</v>
      </c>
      <c r="V189" s="17">
        <v>0</v>
      </c>
      <c r="W189" s="15">
        <f>+U189+V189</f>
        <v>0</v>
      </c>
      <c r="X189" s="17">
        <v>0</v>
      </c>
      <c r="Y189" s="15">
        <f>+W189+X189</f>
        <v>0</v>
      </c>
      <c r="Z189" s="17">
        <v>0</v>
      </c>
      <c r="AA189" s="15">
        <f>+Y189+Z189</f>
        <v>0</v>
      </c>
      <c r="AB189" s="17">
        <v>0</v>
      </c>
      <c r="AC189" s="15">
        <f>+AA189+AB189</f>
        <v>0</v>
      </c>
    </row>
    <row r="190" spans="2:29" ht="15">
      <c r="B190" s="57">
        <v>5891</v>
      </c>
      <c r="C190" s="14" t="s">
        <v>171</v>
      </c>
      <c r="D190" s="93">
        <f>+PRESUPACUM!D190</f>
        <v>0</v>
      </c>
      <c r="E190" s="93">
        <f>+PRESUPACUM!E190</f>
        <v>0</v>
      </c>
      <c r="F190" s="17">
        <v>0</v>
      </c>
      <c r="G190" s="59">
        <f>+F190</f>
        <v>0</v>
      </c>
      <c r="H190" s="17">
        <v>0</v>
      </c>
      <c r="I190" s="15">
        <f>+G190+H190</f>
        <v>0</v>
      </c>
      <c r="J190" s="17">
        <v>0</v>
      </c>
      <c r="K190" s="15">
        <f>+I190+J190</f>
        <v>0</v>
      </c>
      <c r="L190" s="17">
        <v>0</v>
      </c>
      <c r="M190" s="15">
        <f>+K190+L190</f>
        <v>0</v>
      </c>
      <c r="N190" s="17">
        <v>0</v>
      </c>
      <c r="O190" s="15">
        <f>+M190+N190</f>
        <v>0</v>
      </c>
      <c r="P190" s="17">
        <v>0</v>
      </c>
      <c r="Q190" s="15">
        <f>+O190+P190</f>
        <v>0</v>
      </c>
      <c r="R190" s="17">
        <v>0</v>
      </c>
      <c r="S190" s="15">
        <f>+Q190+R190</f>
        <v>0</v>
      </c>
      <c r="T190" s="17">
        <v>0</v>
      </c>
      <c r="U190" s="15">
        <f>+S190+T190</f>
        <v>0</v>
      </c>
      <c r="V190" s="17">
        <v>0</v>
      </c>
      <c r="W190" s="15">
        <f>+U190+V190</f>
        <v>0</v>
      </c>
      <c r="X190" s="17">
        <v>0</v>
      </c>
      <c r="Y190" s="15">
        <f>+W190+X190</f>
        <v>0</v>
      </c>
      <c r="Z190" s="17">
        <v>0</v>
      </c>
      <c r="AA190" s="15">
        <f>+Y190+Z190</f>
        <v>0</v>
      </c>
      <c r="AB190" s="17">
        <v>0</v>
      </c>
      <c r="AC190" s="15">
        <f>+AA190+AB190</f>
        <v>0</v>
      </c>
    </row>
    <row r="191" spans="4:29" ht="15">
      <c r="D191" s="58"/>
      <c r="E191" s="58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</row>
    <row r="192" spans="2:29" ht="15.75">
      <c r="B192" s="16">
        <v>5900</v>
      </c>
      <c r="C192" s="77" t="s">
        <v>172</v>
      </c>
      <c r="D192" s="92">
        <f>SUM(D193:D198)</f>
        <v>1493981.16</v>
      </c>
      <c r="E192" s="92">
        <f>SUM(E193:E198)</f>
        <v>1493981.16</v>
      </c>
      <c r="F192" s="92">
        <f aca="true" t="shared" si="140" ref="F192:AC192">SUM(F193:F198)</f>
        <v>0</v>
      </c>
      <c r="G192" s="92">
        <f t="shared" si="140"/>
        <v>0</v>
      </c>
      <c r="H192" s="92">
        <f>SUM(H193:H198)</f>
        <v>0</v>
      </c>
      <c r="I192" s="92">
        <f t="shared" si="140"/>
        <v>0</v>
      </c>
      <c r="J192" s="92">
        <f>SUM(J193:J198)</f>
        <v>0</v>
      </c>
      <c r="K192" s="92">
        <f t="shared" si="140"/>
        <v>0</v>
      </c>
      <c r="L192" s="92">
        <f t="shared" si="140"/>
        <v>0</v>
      </c>
      <c r="M192" s="92">
        <f t="shared" si="140"/>
        <v>0</v>
      </c>
      <c r="N192" s="92">
        <f>SUM(N193:N198)</f>
        <v>0</v>
      </c>
      <c r="O192" s="92">
        <f t="shared" si="140"/>
        <v>0</v>
      </c>
      <c r="P192" s="92">
        <f>SUM(P193:P198)</f>
        <v>0</v>
      </c>
      <c r="Q192" s="92">
        <f t="shared" si="140"/>
        <v>0</v>
      </c>
      <c r="R192" s="92">
        <f>SUM(R193:R198)</f>
        <v>0</v>
      </c>
      <c r="S192" s="92">
        <f t="shared" si="140"/>
        <v>0</v>
      </c>
      <c r="T192" s="92">
        <f t="shared" si="140"/>
        <v>0</v>
      </c>
      <c r="U192" s="92">
        <f t="shared" si="140"/>
        <v>0</v>
      </c>
      <c r="V192" s="92">
        <f>SUM(V193:V198)</f>
        <v>0</v>
      </c>
      <c r="W192" s="92">
        <f t="shared" si="140"/>
        <v>0</v>
      </c>
      <c r="X192" s="92">
        <f>SUM(X193:X198)</f>
        <v>0</v>
      </c>
      <c r="Y192" s="92">
        <f t="shared" si="140"/>
        <v>0</v>
      </c>
      <c r="Z192" s="92">
        <f t="shared" si="140"/>
        <v>0</v>
      </c>
      <c r="AA192" s="92">
        <f t="shared" si="140"/>
        <v>0</v>
      </c>
      <c r="AB192" s="92">
        <f>SUM(AB193:AB198)</f>
        <v>0</v>
      </c>
      <c r="AC192" s="92">
        <f t="shared" si="140"/>
        <v>0</v>
      </c>
    </row>
    <row r="193" spans="2:29" ht="15">
      <c r="B193" s="8">
        <v>5911</v>
      </c>
      <c r="C193" s="8" t="s">
        <v>173</v>
      </c>
      <c r="D193" s="93">
        <f>+PRESUPACUM!D193</f>
        <v>0</v>
      </c>
      <c r="E193" s="93">
        <f>+PRESUPACUM!E193</f>
        <v>0</v>
      </c>
      <c r="F193" s="17">
        <v>0</v>
      </c>
      <c r="G193" s="59">
        <f aca="true" t="shared" si="141" ref="G193:G198">+F193</f>
        <v>0</v>
      </c>
      <c r="H193" s="17">
        <v>0</v>
      </c>
      <c r="I193" s="15">
        <f aca="true" t="shared" si="142" ref="I193:I198">+G193+H193</f>
        <v>0</v>
      </c>
      <c r="J193" s="17">
        <v>0</v>
      </c>
      <c r="K193" s="15">
        <f aca="true" t="shared" si="143" ref="K193:K198">+I193+J193</f>
        <v>0</v>
      </c>
      <c r="L193" s="17">
        <v>0</v>
      </c>
      <c r="M193" s="15">
        <f aca="true" t="shared" si="144" ref="M193:M198">+K193+L193</f>
        <v>0</v>
      </c>
      <c r="N193" s="17">
        <v>0</v>
      </c>
      <c r="O193" s="15">
        <f aca="true" t="shared" si="145" ref="O193:O198">+M193+N193</f>
        <v>0</v>
      </c>
      <c r="P193" s="17">
        <v>0</v>
      </c>
      <c r="Q193" s="15">
        <f aca="true" t="shared" si="146" ref="Q193:Q198">+O193+P193</f>
        <v>0</v>
      </c>
      <c r="R193" s="17">
        <v>0</v>
      </c>
      <c r="S193" s="15">
        <f aca="true" t="shared" si="147" ref="S193:S198">+Q193+R193</f>
        <v>0</v>
      </c>
      <c r="T193" s="17">
        <v>0</v>
      </c>
      <c r="U193" s="15">
        <f aca="true" t="shared" si="148" ref="U193:U198">+S193+T193</f>
        <v>0</v>
      </c>
      <c r="V193" s="17">
        <v>0</v>
      </c>
      <c r="W193" s="15">
        <f aca="true" t="shared" si="149" ref="W193:W198">+U193+V193</f>
        <v>0</v>
      </c>
      <c r="X193" s="17">
        <v>0</v>
      </c>
      <c r="Y193" s="15">
        <f aca="true" t="shared" si="150" ref="Y193:Y198">+W193+X193</f>
        <v>0</v>
      </c>
      <c r="Z193" s="17">
        <v>0</v>
      </c>
      <c r="AA193" s="15">
        <f aca="true" t="shared" si="151" ref="AA193:AA198">+Y193+Z193</f>
        <v>0</v>
      </c>
      <c r="AB193" s="17">
        <v>0</v>
      </c>
      <c r="AC193" s="15">
        <f aca="true" t="shared" si="152" ref="AC193:AC198">+AA193+AB193</f>
        <v>0</v>
      </c>
    </row>
    <row r="194" spans="2:29" ht="15">
      <c r="B194" s="8">
        <v>5921</v>
      </c>
      <c r="C194" s="8" t="s">
        <v>174</v>
      </c>
      <c r="D194" s="93">
        <f>+PRESUPACUM!D194</f>
        <v>0</v>
      </c>
      <c r="E194" s="93">
        <f>+PRESUPACUM!E194</f>
        <v>0</v>
      </c>
      <c r="F194" s="17">
        <v>0</v>
      </c>
      <c r="G194" s="59">
        <f t="shared" si="141"/>
        <v>0</v>
      </c>
      <c r="H194" s="17">
        <v>0</v>
      </c>
      <c r="I194" s="15">
        <f t="shared" si="142"/>
        <v>0</v>
      </c>
      <c r="J194" s="17">
        <v>0</v>
      </c>
      <c r="K194" s="15">
        <f t="shared" si="143"/>
        <v>0</v>
      </c>
      <c r="L194" s="17">
        <v>0</v>
      </c>
      <c r="M194" s="15">
        <f t="shared" si="144"/>
        <v>0</v>
      </c>
      <c r="N194" s="17">
        <v>0</v>
      </c>
      <c r="O194" s="15">
        <f t="shared" si="145"/>
        <v>0</v>
      </c>
      <c r="P194" s="17">
        <v>0</v>
      </c>
      <c r="Q194" s="15">
        <f t="shared" si="146"/>
        <v>0</v>
      </c>
      <c r="R194" s="17">
        <v>0</v>
      </c>
      <c r="S194" s="15">
        <f t="shared" si="147"/>
        <v>0</v>
      </c>
      <c r="T194" s="17">
        <v>0</v>
      </c>
      <c r="U194" s="15">
        <f t="shared" si="148"/>
        <v>0</v>
      </c>
      <c r="V194" s="17">
        <v>0</v>
      </c>
      <c r="W194" s="15">
        <f t="shared" si="149"/>
        <v>0</v>
      </c>
      <c r="X194" s="17">
        <v>0</v>
      </c>
      <c r="Y194" s="15">
        <f t="shared" si="150"/>
        <v>0</v>
      </c>
      <c r="Z194" s="17">
        <v>0</v>
      </c>
      <c r="AA194" s="15">
        <f t="shared" si="151"/>
        <v>0</v>
      </c>
      <c r="AB194" s="17">
        <v>0</v>
      </c>
      <c r="AC194" s="15">
        <f t="shared" si="152"/>
        <v>0</v>
      </c>
    </row>
    <row r="195" spans="2:29" ht="15">
      <c r="B195" s="8">
        <v>5931</v>
      </c>
      <c r="C195" s="8" t="s">
        <v>175</v>
      </c>
      <c r="D195" s="93">
        <f>+PRESUPACUM!D195</f>
        <v>0</v>
      </c>
      <c r="E195" s="93">
        <f>+PRESUPACUM!E195</f>
        <v>0</v>
      </c>
      <c r="F195" s="17">
        <v>0</v>
      </c>
      <c r="G195" s="59">
        <f t="shared" si="141"/>
        <v>0</v>
      </c>
      <c r="H195" s="17">
        <v>0</v>
      </c>
      <c r="I195" s="15">
        <f t="shared" si="142"/>
        <v>0</v>
      </c>
      <c r="J195" s="17">
        <v>0</v>
      </c>
      <c r="K195" s="15">
        <f t="shared" si="143"/>
        <v>0</v>
      </c>
      <c r="L195" s="17">
        <v>0</v>
      </c>
      <c r="M195" s="15">
        <f t="shared" si="144"/>
        <v>0</v>
      </c>
      <c r="N195" s="17">
        <v>0</v>
      </c>
      <c r="O195" s="15">
        <f t="shared" si="145"/>
        <v>0</v>
      </c>
      <c r="P195" s="17">
        <v>0</v>
      </c>
      <c r="Q195" s="15">
        <f t="shared" si="146"/>
        <v>0</v>
      </c>
      <c r="R195" s="17">
        <v>0</v>
      </c>
      <c r="S195" s="15">
        <f t="shared" si="147"/>
        <v>0</v>
      </c>
      <c r="T195" s="17">
        <v>0</v>
      </c>
      <c r="U195" s="15">
        <f t="shared" si="148"/>
        <v>0</v>
      </c>
      <c r="V195" s="17">
        <v>0</v>
      </c>
      <c r="W195" s="15">
        <f t="shared" si="149"/>
        <v>0</v>
      </c>
      <c r="X195" s="17">
        <v>0</v>
      </c>
      <c r="Y195" s="15">
        <f t="shared" si="150"/>
        <v>0</v>
      </c>
      <c r="Z195" s="17">
        <v>0</v>
      </c>
      <c r="AA195" s="15">
        <f t="shared" si="151"/>
        <v>0</v>
      </c>
      <c r="AB195" s="17">
        <v>0</v>
      </c>
      <c r="AC195" s="15">
        <f t="shared" si="152"/>
        <v>0</v>
      </c>
    </row>
    <row r="196" spans="2:29" ht="15">
      <c r="B196" s="8">
        <v>5941</v>
      </c>
      <c r="C196" s="8" t="s">
        <v>176</v>
      </c>
      <c r="D196" s="93">
        <f>+PRESUPACUM!D196</f>
        <v>0</v>
      </c>
      <c r="E196" s="93">
        <f>+PRESUPACUM!E196</f>
        <v>0</v>
      </c>
      <c r="F196" s="17">
        <v>0</v>
      </c>
      <c r="G196" s="59">
        <f t="shared" si="141"/>
        <v>0</v>
      </c>
      <c r="H196" s="17">
        <v>0</v>
      </c>
      <c r="I196" s="15">
        <f t="shared" si="142"/>
        <v>0</v>
      </c>
      <c r="J196" s="17">
        <v>0</v>
      </c>
      <c r="K196" s="15">
        <f t="shared" si="143"/>
        <v>0</v>
      </c>
      <c r="L196" s="17">
        <v>0</v>
      </c>
      <c r="M196" s="15">
        <f t="shared" si="144"/>
        <v>0</v>
      </c>
      <c r="N196" s="17">
        <v>0</v>
      </c>
      <c r="O196" s="15">
        <f t="shared" si="145"/>
        <v>0</v>
      </c>
      <c r="P196" s="17">
        <v>0</v>
      </c>
      <c r="Q196" s="15">
        <f t="shared" si="146"/>
        <v>0</v>
      </c>
      <c r="R196" s="17">
        <v>0</v>
      </c>
      <c r="S196" s="15">
        <f t="shared" si="147"/>
        <v>0</v>
      </c>
      <c r="T196" s="17">
        <v>0</v>
      </c>
      <c r="U196" s="15">
        <f t="shared" si="148"/>
        <v>0</v>
      </c>
      <c r="V196" s="17">
        <v>0</v>
      </c>
      <c r="W196" s="15">
        <f t="shared" si="149"/>
        <v>0</v>
      </c>
      <c r="X196" s="17">
        <v>0</v>
      </c>
      <c r="Y196" s="15">
        <f t="shared" si="150"/>
        <v>0</v>
      </c>
      <c r="Z196" s="17">
        <v>0</v>
      </c>
      <c r="AA196" s="15">
        <f t="shared" si="151"/>
        <v>0</v>
      </c>
      <c r="AB196" s="17">
        <v>0</v>
      </c>
      <c r="AC196" s="15">
        <f t="shared" si="152"/>
        <v>0</v>
      </c>
    </row>
    <row r="197" spans="2:29" ht="15">
      <c r="B197" s="8">
        <v>5971</v>
      </c>
      <c r="C197" s="8" t="s">
        <v>198</v>
      </c>
      <c r="D197" s="93">
        <f>+PRESUPACUM!D197</f>
        <v>1493981.16</v>
      </c>
      <c r="E197" s="93">
        <f>+PRESUPACUM!E197</f>
        <v>1493981.16</v>
      </c>
      <c r="F197" s="17">
        <v>0</v>
      </c>
      <c r="G197" s="59">
        <f t="shared" si="141"/>
        <v>0</v>
      </c>
      <c r="H197" s="17">
        <v>0</v>
      </c>
      <c r="I197" s="15">
        <f t="shared" si="142"/>
        <v>0</v>
      </c>
      <c r="J197" s="17">
        <v>0</v>
      </c>
      <c r="K197" s="15">
        <f t="shared" si="143"/>
        <v>0</v>
      </c>
      <c r="L197" s="17">
        <v>0</v>
      </c>
      <c r="M197" s="15">
        <f t="shared" si="144"/>
        <v>0</v>
      </c>
      <c r="N197" s="17">
        <v>0</v>
      </c>
      <c r="O197" s="15">
        <f t="shared" si="145"/>
        <v>0</v>
      </c>
      <c r="P197" s="17">
        <v>0</v>
      </c>
      <c r="Q197" s="15">
        <f t="shared" si="146"/>
        <v>0</v>
      </c>
      <c r="R197" s="17">
        <v>0</v>
      </c>
      <c r="S197" s="15">
        <f t="shared" si="147"/>
        <v>0</v>
      </c>
      <c r="T197" s="17">
        <v>0</v>
      </c>
      <c r="U197" s="15">
        <f t="shared" si="148"/>
        <v>0</v>
      </c>
      <c r="V197" s="17">
        <v>0</v>
      </c>
      <c r="W197" s="15">
        <f t="shared" si="149"/>
        <v>0</v>
      </c>
      <c r="X197" s="17">
        <v>0</v>
      </c>
      <c r="Y197" s="15">
        <f t="shared" si="150"/>
        <v>0</v>
      </c>
      <c r="Z197" s="17">
        <v>0</v>
      </c>
      <c r="AA197" s="15">
        <f t="shared" si="151"/>
        <v>0</v>
      </c>
      <c r="AB197" s="17">
        <v>0</v>
      </c>
      <c r="AC197" s="15">
        <f t="shared" si="152"/>
        <v>0</v>
      </c>
    </row>
    <row r="198" spans="2:29" ht="15">
      <c r="B198" s="8">
        <v>5991</v>
      </c>
      <c r="C198" s="8" t="s">
        <v>177</v>
      </c>
      <c r="D198" s="93">
        <f>+PRESUPACUM!D198</f>
        <v>0</v>
      </c>
      <c r="E198" s="93">
        <f>+PRESUPACUM!E198</f>
        <v>0</v>
      </c>
      <c r="F198" s="17">
        <v>0</v>
      </c>
      <c r="G198" s="59">
        <f t="shared" si="141"/>
        <v>0</v>
      </c>
      <c r="H198" s="17">
        <v>0</v>
      </c>
      <c r="I198" s="15">
        <f t="shared" si="142"/>
        <v>0</v>
      </c>
      <c r="J198" s="17">
        <v>0</v>
      </c>
      <c r="K198" s="15">
        <f t="shared" si="143"/>
        <v>0</v>
      </c>
      <c r="L198" s="17">
        <v>0</v>
      </c>
      <c r="M198" s="15">
        <f t="shared" si="144"/>
        <v>0</v>
      </c>
      <c r="N198" s="17">
        <v>0</v>
      </c>
      <c r="O198" s="15">
        <f t="shared" si="145"/>
        <v>0</v>
      </c>
      <c r="P198" s="17">
        <v>0</v>
      </c>
      <c r="Q198" s="15">
        <f t="shared" si="146"/>
        <v>0</v>
      </c>
      <c r="R198" s="17">
        <v>0</v>
      </c>
      <c r="S198" s="15">
        <f t="shared" si="147"/>
        <v>0</v>
      </c>
      <c r="T198" s="17">
        <v>0</v>
      </c>
      <c r="U198" s="15">
        <f t="shared" si="148"/>
        <v>0</v>
      </c>
      <c r="V198" s="17">
        <v>0</v>
      </c>
      <c r="W198" s="15">
        <f t="shared" si="149"/>
        <v>0</v>
      </c>
      <c r="X198" s="17">
        <v>0</v>
      </c>
      <c r="Y198" s="15">
        <f t="shared" si="150"/>
        <v>0</v>
      </c>
      <c r="Z198" s="17">
        <v>0</v>
      </c>
      <c r="AA198" s="15">
        <f t="shared" si="151"/>
        <v>0</v>
      </c>
      <c r="AB198" s="17">
        <v>0</v>
      </c>
      <c r="AC198" s="15">
        <f t="shared" si="152"/>
        <v>0</v>
      </c>
    </row>
  </sheetData>
  <sheetProtection/>
  <mergeCells count="3">
    <mergeCell ref="B5:AC5"/>
    <mergeCell ref="B3:AC3"/>
    <mergeCell ref="B1:AC1"/>
  </mergeCells>
  <printOptions headings="1"/>
  <pageMargins left="0" right="0" top="0" bottom="0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J117"/>
  <sheetViews>
    <sheetView showGridLines="0" zoomScale="75" zoomScaleNormal="75" zoomScalePageLayoutView="0" workbookViewId="0" topLeftCell="A64">
      <selection activeCell="I116" sqref="I116"/>
    </sheetView>
  </sheetViews>
  <sheetFormatPr defaultColWidth="11.421875" defaultRowHeight="12.75"/>
  <cols>
    <col min="1" max="1" width="126.57421875" style="220" customWidth="1"/>
    <col min="2" max="2" width="18.28125" style="220" bestFit="1" customWidth="1"/>
    <col min="3" max="3" width="14.57421875" style="220" customWidth="1"/>
    <col min="4" max="4" width="12.8515625" style="220" bestFit="1" customWidth="1"/>
    <col min="5" max="5" width="13.140625" style="220" bestFit="1" customWidth="1"/>
    <col min="6" max="6" width="12.8515625" style="220" bestFit="1" customWidth="1"/>
    <col min="7" max="7" width="12.28125" style="220" bestFit="1" customWidth="1"/>
    <col min="8" max="8" width="14.28125" style="220" bestFit="1" customWidth="1"/>
    <col min="9" max="9" width="17.8515625" style="220" bestFit="1" customWidth="1"/>
    <col min="10" max="10" width="17.140625" style="220" bestFit="1" customWidth="1"/>
    <col min="11" max="11" width="17.8515625" style="220" bestFit="1" customWidth="1"/>
    <col min="12" max="12" width="17.7109375" style="220" bestFit="1" customWidth="1"/>
    <col min="13" max="13" width="17.28125" style="220" bestFit="1" customWidth="1"/>
    <col min="14" max="16384" width="11.421875" style="220" customWidth="1"/>
  </cols>
  <sheetData>
    <row r="1" spans="1:10" ht="24.75" customHeight="1">
      <c r="A1" s="321" t="s">
        <v>71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ht="15.75" customHeight="1">
      <c r="A2" s="322" t="s">
        <v>72</v>
      </c>
      <c r="B2" s="322"/>
      <c r="C2" s="322"/>
      <c r="D2" s="322"/>
      <c r="E2" s="322"/>
      <c r="F2" s="322"/>
      <c r="G2" s="322"/>
      <c r="H2" s="322"/>
      <c r="I2" s="322"/>
      <c r="J2" s="322"/>
    </row>
    <row r="3" spans="2:4" ht="15.75">
      <c r="B3" s="221"/>
      <c r="C3" s="222"/>
      <c r="D3" s="223"/>
    </row>
    <row r="4" spans="1:10" ht="18">
      <c r="A4" s="323" t="s">
        <v>281</v>
      </c>
      <c r="B4" s="323"/>
      <c r="C4" s="323"/>
      <c r="D4" s="323"/>
      <c r="E4" s="323"/>
      <c r="F4" s="323"/>
      <c r="G4" s="323"/>
      <c r="H4" s="323"/>
      <c r="I4" s="323"/>
      <c r="J4" s="323"/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6"/>
      <c r="J6" s="227" t="s">
        <v>76</v>
      </c>
      <c r="K6" s="228"/>
    </row>
    <row r="7" spans="1:11" ht="20.25">
      <c r="A7" s="229" t="s">
        <v>252</v>
      </c>
      <c r="B7" s="230" t="s">
        <v>73</v>
      </c>
      <c r="C7" s="230" t="s">
        <v>59</v>
      </c>
      <c r="D7" s="230" t="s">
        <v>60</v>
      </c>
      <c r="E7" s="230" t="s">
        <v>58</v>
      </c>
      <c r="F7" s="230" t="s">
        <v>61</v>
      </c>
      <c r="G7" s="230" t="s">
        <v>62</v>
      </c>
      <c r="H7" s="230" t="s">
        <v>63</v>
      </c>
      <c r="I7" s="231" t="s">
        <v>74</v>
      </c>
      <c r="J7" s="232" t="s">
        <v>77</v>
      </c>
      <c r="K7" s="228"/>
    </row>
    <row r="8" spans="1:11" ht="12.75">
      <c r="A8" s="233"/>
      <c r="B8" s="234">
        <v>42369</v>
      </c>
      <c r="C8" s="235">
        <v>2016</v>
      </c>
      <c r="D8" s="235">
        <v>2016</v>
      </c>
      <c r="E8" s="235">
        <v>2016</v>
      </c>
      <c r="F8" s="235">
        <v>2016</v>
      </c>
      <c r="G8" s="235">
        <v>2016</v>
      </c>
      <c r="H8" s="235">
        <v>2016</v>
      </c>
      <c r="I8" s="236" t="s">
        <v>75</v>
      </c>
      <c r="J8" s="237" t="s">
        <v>89</v>
      </c>
      <c r="K8" s="228"/>
    </row>
    <row r="10" spans="1:10" ht="12.75">
      <c r="A10" s="224"/>
      <c r="B10" s="238"/>
      <c r="C10" s="239"/>
      <c r="D10" s="239"/>
      <c r="E10" s="239"/>
      <c r="F10" s="239"/>
      <c r="G10" s="239"/>
      <c r="H10" s="239"/>
      <c r="I10" s="239"/>
      <c r="J10" s="240"/>
    </row>
    <row r="11" spans="1:88" ht="12.75">
      <c r="A11" s="241" t="s">
        <v>248</v>
      </c>
      <c r="B11" s="242">
        <v>30253550.990000002</v>
      </c>
      <c r="C11" s="243">
        <v>0</v>
      </c>
      <c r="D11" s="243">
        <v>0</v>
      </c>
      <c r="E11" s="243">
        <v>0</v>
      </c>
      <c r="F11" s="243">
        <v>0</v>
      </c>
      <c r="G11" s="243">
        <v>0</v>
      </c>
      <c r="H11" s="243">
        <v>0</v>
      </c>
      <c r="I11" s="242">
        <f>SUM(B11:H11)</f>
        <v>30253550.990000002</v>
      </c>
      <c r="J11" s="244">
        <f>I11-B11</f>
        <v>0</v>
      </c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45"/>
      <c r="BH11" s="245"/>
      <c r="BI11" s="245"/>
      <c r="BJ11" s="245"/>
      <c r="BK11" s="245"/>
      <c r="BL11" s="245"/>
      <c r="BM11" s="245"/>
      <c r="BN11" s="245"/>
      <c r="BO11" s="245"/>
      <c r="BP11" s="245"/>
      <c r="BQ11" s="245"/>
      <c r="BR11" s="245"/>
      <c r="BS11" s="245"/>
      <c r="BT11" s="245"/>
      <c r="BU11" s="245"/>
      <c r="BV11" s="245"/>
      <c r="BW11" s="245"/>
      <c r="BX11" s="245"/>
      <c r="BY11" s="245"/>
      <c r="BZ11" s="245"/>
      <c r="CA11" s="245"/>
      <c r="CB11" s="245"/>
      <c r="CC11" s="245"/>
      <c r="CD11" s="245"/>
      <c r="CE11" s="245"/>
      <c r="CF11" s="245"/>
      <c r="CG11" s="245"/>
      <c r="CH11" s="245"/>
      <c r="CI11" s="245"/>
      <c r="CJ11" s="245"/>
    </row>
    <row r="12" spans="1:88" ht="12.75">
      <c r="A12" s="241" t="s">
        <v>266</v>
      </c>
      <c r="B12" s="242"/>
      <c r="C12" s="243"/>
      <c r="D12" s="243"/>
      <c r="E12" s="243"/>
      <c r="F12" s="243"/>
      <c r="G12" s="243"/>
      <c r="H12" s="243"/>
      <c r="I12" s="242"/>
      <c r="J12" s="244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5"/>
      <c r="BT12" s="245"/>
      <c r="BU12" s="245"/>
      <c r="BV12" s="245"/>
      <c r="BW12" s="245"/>
      <c r="BX12" s="245"/>
      <c r="BY12" s="245"/>
      <c r="BZ12" s="245"/>
      <c r="CA12" s="245"/>
      <c r="CB12" s="245"/>
      <c r="CC12" s="245"/>
      <c r="CD12" s="245"/>
      <c r="CE12" s="245"/>
      <c r="CF12" s="245"/>
      <c r="CG12" s="245"/>
      <c r="CH12" s="245"/>
      <c r="CI12" s="245"/>
      <c r="CJ12" s="245"/>
    </row>
    <row r="13" spans="1:88" ht="12.75">
      <c r="A13" s="241"/>
      <c r="B13" s="242"/>
      <c r="C13" s="246"/>
      <c r="D13" s="246"/>
      <c r="E13" s="246"/>
      <c r="F13" s="246"/>
      <c r="G13" s="246"/>
      <c r="H13" s="246"/>
      <c r="I13" s="247"/>
      <c r="J13" s="248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  <c r="BI13" s="245"/>
      <c r="BJ13" s="245"/>
      <c r="BK13" s="245"/>
      <c r="BL13" s="245"/>
      <c r="BM13" s="245"/>
      <c r="BN13" s="245"/>
      <c r="BO13" s="245"/>
      <c r="BP13" s="245"/>
      <c r="BQ13" s="245"/>
      <c r="BR13" s="245"/>
      <c r="BS13" s="245"/>
      <c r="BT13" s="245"/>
      <c r="BU13" s="245"/>
      <c r="BV13" s="245"/>
      <c r="BW13" s="245"/>
      <c r="BX13" s="245"/>
      <c r="BY13" s="245"/>
      <c r="BZ13" s="245"/>
      <c r="CA13" s="245"/>
      <c r="CB13" s="245"/>
      <c r="CC13" s="245"/>
      <c r="CD13" s="245"/>
      <c r="CE13" s="245"/>
      <c r="CF13" s="245"/>
      <c r="CG13" s="245"/>
      <c r="CH13" s="245"/>
      <c r="CI13" s="245"/>
      <c r="CJ13" s="245"/>
    </row>
    <row r="14" spans="1:88" ht="12.75">
      <c r="A14" s="241" t="s">
        <v>249</v>
      </c>
      <c r="B14" s="247">
        <v>571533.13</v>
      </c>
      <c r="C14" s="246">
        <v>0</v>
      </c>
      <c r="D14" s="246">
        <v>0</v>
      </c>
      <c r="E14" s="246">
        <v>0</v>
      </c>
      <c r="F14" s="246">
        <v>0</v>
      </c>
      <c r="G14" s="246">
        <v>0</v>
      </c>
      <c r="H14" s="246">
        <v>0</v>
      </c>
      <c r="I14" s="247">
        <f>SUM(B14:H14)</f>
        <v>571533.13</v>
      </c>
      <c r="J14" s="244">
        <f>I14-B14</f>
        <v>0</v>
      </c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</row>
    <row r="15" spans="1:88" ht="12.75">
      <c r="A15" s="241" t="s">
        <v>267</v>
      </c>
      <c r="B15" s="242"/>
      <c r="C15" s="246"/>
      <c r="D15" s="246"/>
      <c r="E15" s="246"/>
      <c r="F15" s="246"/>
      <c r="G15" s="246"/>
      <c r="H15" s="246"/>
      <c r="I15" s="247"/>
      <c r="J15" s="248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245"/>
      <c r="BH15" s="245"/>
      <c r="BI15" s="245"/>
      <c r="BJ15" s="245"/>
      <c r="BK15" s="245"/>
      <c r="BL15" s="245"/>
      <c r="BM15" s="245"/>
      <c r="BN15" s="245"/>
      <c r="BO15" s="245"/>
      <c r="BP15" s="245"/>
      <c r="BQ15" s="245"/>
      <c r="BR15" s="245"/>
      <c r="BS15" s="245"/>
      <c r="BT15" s="245"/>
      <c r="BU15" s="245"/>
      <c r="BV15" s="245"/>
      <c r="BW15" s="245"/>
      <c r="BX15" s="245"/>
      <c r="BY15" s="245"/>
      <c r="BZ15" s="245"/>
      <c r="CA15" s="245"/>
      <c r="CB15" s="245"/>
      <c r="CC15" s="245"/>
      <c r="CD15" s="245"/>
      <c r="CE15" s="245"/>
      <c r="CF15" s="245"/>
      <c r="CG15" s="245"/>
      <c r="CH15" s="245"/>
      <c r="CI15" s="245"/>
      <c r="CJ15" s="245"/>
    </row>
    <row r="16" spans="1:88" ht="12.75">
      <c r="A16" s="241"/>
      <c r="B16" s="247"/>
      <c r="C16" s="246"/>
      <c r="D16" s="246"/>
      <c r="E16" s="246"/>
      <c r="F16" s="246"/>
      <c r="G16" s="246"/>
      <c r="H16" s="246"/>
      <c r="I16" s="247"/>
      <c r="J16" s="248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  <c r="BI16" s="245"/>
      <c r="BJ16" s="245"/>
      <c r="BK16" s="245"/>
      <c r="BL16" s="245"/>
      <c r="BM16" s="245"/>
      <c r="BN16" s="245"/>
      <c r="BO16" s="245"/>
      <c r="BP16" s="245"/>
      <c r="BQ16" s="245"/>
      <c r="BR16" s="245"/>
      <c r="BS16" s="245"/>
      <c r="BT16" s="245"/>
      <c r="BU16" s="245"/>
      <c r="BV16" s="245"/>
      <c r="BW16" s="245"/>
      <c r="BX16" s="245"/>
      <c r="BY16" s="245"/>
      <c r="BZ16" s="245"/>
      <c r="CA16" s="245"/>
      <c r="CB16" s="245"/>
      <c r="CC16" s="245"/>
      <c r="CD16" s="245"/>
      <c r="CE16" s="245"/>
      <c r="CF16" s="245"/>
      <c r="CG16" s="245"/>
      <c r="CH16" s="245"/>
      <c r="CI16" s="245"/>
      <c r="CJ16" s="245"/>
    </row>
    <row r="17" spans="1:88" ht="12.75">
      <c r="A17" s="241" t="s">
        <v>250</v>
      </c>
      <c r="B17" s="247">
        <v>5930843.53</v>
      </c>
      <c r="C17" s="246">
        <v>0</v>
      </c>
      <c r="D17" s="246">
        <v>0</v>
      </c>
      <c r="E17" s="246">
        <v>0</v>
      </c>
      <c r="F17" s="246">
        <v>0</v>
      </c>
      <c r="G17" s="246">
        <v>0</v>
      </c>
      <c r="H17" s="246">
        <v>0</v>
      </c>
      <c r="I17" s="247">
        <f>SUM(B17:H17)</f>
        <v>5930843.53</v>
      </c>
      <c r="J17" s="248">
        <f>I17-B17</f>
        <v>0</v>
      </c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45"/>
      <c r="BH17" s="245"/>
      <c r="BI17" s="245"/>
      <c r="BJ17" s="245"/>
      <c r="BK17" s="245"/>
      <c r="BL17" s="245"/>
      <c r="BM17" s="245"/>
      <c r="BN17" s="245"/>
      <c r="BO17" s="245"/>
      <c r="BP17" s="245"/>
      <c r="BQ17" s="245"/>
      <c r="BR17" s="245"/>
      <c r="BS17" s="245"/>
      <c r="BT17" s="245"/>
      <c r="BU17" s="245"/>
      <c r="BV17" s="245"/>
      <c r="BW17" s="245"/>
      <c r="BX17" s="245"/>
      <c r="BY17" s="245"/>
      <c r="BZ17" s="245"/>
      <c r="CA17" s="245"/>
      <c r="CB17" s="245"/>
      <c r="CC17" s="245"/>
      <c r="CD17" s="245"/>
      <c r="CE17" s="245"/>
      <c r="CF17" s="245"/>
      <c r="CG17" s="245"/>
      <c r="CH17" s="245"/>
      <c r="CI17" s="245"/>
      <c r="CJ17" s="245"/>
    </row>
    <row r="18" spans="1:88" ht="12.75">
      <c r="A18" s="241" t="s">
        <v>268</v>
      </c>
      <c r="B18" s="247"/>
      <c r="C18" s="246"/>
      <c r="D18" s="246"/>
      <c r="E18" s="246"/>
      <c r="F18" s="246"/>
      <c r="G18" s="246"/>
      <c r="H18" s="246"/>
      <c r="I18" s="247"/>
      <c r="J18" s="248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245"/>
      <c r="BH18" s="245"/>
      <c r="BI18" s="245"/>
      <c r="BJ18" s="245"/>
      <c r="BK18" s="245"/>
      <c r="BL18" s="245"/>
      <c r="BM18" s="245"/>
      <c r="BN18" s="245"/>
      <c r="BO18" s="245"/>
      <c r="BP18" s="245"/>
      <c r="BQ18" s="245"/>
      <c r="BR18" s="245"/>
      <c r="BS18" s="245"/>
      <c r="BT18" s="245"/>
      <c r="BU18" s="245"/>
      <c r="BV18" s="245"/>
      <c r="BW18" s="245"/>
      <c r="BX18" s="245"/>
      <c r="BY18" s="245"/>
      <c r="BZ18" s="245"/>
      <c r="CA18" s="245"/>
      <c r="CB18" s="245"/>
      <c r="CC18" s="245"/>
      <c r="CD18" s="245"/>
      <c r="CE18" s="245"/>
      <c r="CF18" s="245"/>
      <c r="CG18" s="245"/>
      <c r="CH18" s="245"/>
      <c r="CI18" s="245"/>
      <c r="CJ18" s="245"/>
    </row>
    <row r="19" spans="1:88" ht="12.75">
      <c r="A19" s="241" t="s">
        <v>269</v>
      </c>
      <c r="B19" s="247"/>
      <c r="C19" s="246"/>
      <c r="D19" s="246"/>
      <c r="E19" s="246"/>
      <c r="F19" s="246"/>
      <c r="G19" s="246"/>
      <c r="H19" s="246"/>
      <c r="I19" s="247"/>
      <c r="J19" s="248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5"/>
      <c r="BC19" s="245"/>
      <c r="BD19" s="245"/>
      <c r="BE19" s="245"/>
      <c r="BF19" s="245"/>
      <c r="BG19" s="245"/>
      <c r="BH19" s="245"/>
      <c r="BI19" s="245"/>
      <c r="BJ19" s="245"/>
      <c r="BK19" s="245"/>
      <c r="BL19" s="245"/>
      <c r="BM19" s="245"/>
      <c r="BN19" s="245"/>
      <c r="BO19" s="245"/>
      <c r="BP19" s="245"/>
      <c r="BQ19" s="245"/>
      <c r="BR19" s="245"/>
      <c r="BS19" s="245"/>
      <c r="BT19" s="245"/>
      <c r="BU19" s="245"/>
      <c r="BV19" s="245"/>
      <c r="BW19" s="245"/>
      <c r="BX19" s="245"/>
      <c r="BY19" s="245"/>
      <c r="BZ19" s="245"/>
      <c r="CA19" s="245"/>
      <c r="CB19" s="245"/>
      <c r="CC19" s="245"/>
      <c r="CD19" s="245"/>
      <c r="CE19" s="245"/>
      <c r="CF19" s="245"/>
      <c r="CG19" s="245"/>
      <c r="CH19" s="245"/>
      <c r="CI19" s="245"/>
      <c r="CJ19" s="245"/>
    </row>
    <row r="20" spans="1:88" ht="12.75">
      <c r="A20" s="241"/>
      <c r="B20" s="247"/>
      <c r="C20" s="246"/>
      <c r="D20" s="246"/>
      <c r="E20" s="246"/>
      <c r="F20" s="246"/>
      <c r="G20" s="246"/>
      <c r="H20" s="246"/>
      <c r="I20" s="247"/>
      <c r="J20" s="248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5"/>
      <c r="BE20" s="245"/>
      <c r="BF20" s="245"/>
      <c r="BG20" s="245"/>
      <c r="BH20" s="245"/>
      <c r="BI20" s="245"/>
      <c r="BJ20" s="245"/>
      <c r="BK20" s="245"/>
      <c r="BL20" s="245"/>
      <c r="BM20" s="245"/>
      <c r="BN20" s="245"/>
      <c r="BO20" s="245"/>
      <c r="BP20" s="245"/>
      <c r="BQ20" s="245"/>
      <c r="BR20" s="245"/>
      <c r="BS20" s="245"/>
      <c r="BT20" s="245"/>
      <c r="BU20" s="245"/>
      <c r="BV20" s="245"/>
      <c r="BW20" s="245"/>
      <c r="BX20" s="245"/>
      <c r="BY20" s="245"/>
      <c r="BZ20" s="245"/>
      <c r="CA20" s="245"/>
      <c r="CB20" s="245"/>
      <c r="CC20" s="245"/>
      <c r="CD20" s="245"/>
      <c r="CE20" s="245"/>
      <c r="CF20" s="245"/>
      <c r="CG20" s="245"/>
      <c r="CH20" s="245"/>
      <c r="CI20" s="245"/>
      <c r="CJ20" s="245"/>
    </row>
    <row r="21" spans="1:88" ht="12.75">
      <c r="A21" s="241" t="s">
        <v>14</v>
      </c>
      <c r="B21" s="247">
        <v>3002757.54</v>
      </c>
      <c r="C21" s="246">
        <v>0</v>
      </c>
      <c r="D21" s="246">
        <v>0</v>
      </c>
      <c r="E21" s="246">
        <v>0</v>
      </c>
      <c r="F21" s="246">
        <v>0</v>
      </c>
      <c r="G21" s="246">
        <v>0</v>
      </c>
      <c r="H21" s="246">
        <v>0</v>
      </c>
      <c r="I21" s="247">
        <f>SUM(B21:H21)</f>
        <v>3002757.54</v>
      </c>
      <c r="J21" s="248">
        <f>I21-B21</f>
        <v>0</v>
      </c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5"/>
      <c r="BE21" s="245"/>
      <c r="BF21" s="245"/>
      <c r="BG21" s="245"/>
      <c r="BH21" s="245"/>
      <c r="BI21" s="245"/>
      <c r="BJ21" s="245"/>
      <c r="BK21" s="245"/>
      <c r="BL21" s="245"/>
      <c r="BM21" s="245"/>
      <c r="BN21" s="245"/>
      <c r="BO21" s="245"/>
      <c r="BP21" s="245"/>
      <c r="BQ21" s="245"/>
      <c r="BR21" s="245"/>
      <c r="BS21" s="245"/>
      <c r="BT21" s="245"/>
      <c r="BU21" s="245"/>
      <c r="BV21" s="245"/>
      <c r="BW21" s="245"/>
      <c r="BX21" s="245"/>
      <c r="BY21" s="245"/>
      <c r="BZ21" s="245"/>
      <c r="CA21" s="245"/>
      <c r="CB21" s="245"/>
      <c r="CC21" s="245"/>
      <c r="CD21" s="245"/>
      <c r="CE21" s="245"/>
      <c r="CF21" s="245"/>
      <c r="CG21" s="245"/>
      <c r="CH21" s="245"/>
      <c r="CI21" s="245"/>
      <c r="CJ21" s="245"/>
    </row>
    <row r="22" spans="1:88" ht="15.75">
      <c r="A22" s="249" t="s">
        <v>270</v>
      </c>
      <c r="B22" s="247"/>
      <c r="C22" s="246"/>
      <c r="D22" s="246"/>
      <c r="E22" s="246"/>
      <c r="F22" s="246"/>
      <c r="G22" s="246"/>
      <c r="H22" s="246"/>
      <c r="I22" s="247"/>
      <c r="J22" s="248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5"/>
      <c r="BE22" s="245"/>
      <c r="BF22" s="245"/>
      <c r="BG22" s="245"/>
      <c r="BH22" s="245"/>
      <c r="BI22" s="245"/>
      <c r="BJ22" s="245"/>
      <c r="BK22" s="245"/>
      <c r="BL22" s="245"/>
      <c r="BM22" s="245"/>
      <c r="BN22" s="245"/>
      <c r="BO22" s="245"/>
      <c r="BP22" s="245"/>
      <c r="BQ22" s="245"/>
      <c r="BR22" s="245"/>
      <c r="BS22" s="245"/>
      <c r="BT22" s="245"/>
      <c r="BU22" s="245"/>
      <c r="BV22" s="245"/>
      <c r="BW22" s="245"/>
      <c r="BX22" s="245"/>
      <c r="BY22" s="245"/>
      <c r="BZ22" s="245"/>
      <c r="CA22" s="245"/>
      <c r="CB22" s="245"/>
      <c r="CC22" s="245"/>
      <c r="CD22" s="245"/>
      <c r="CE22" s="245"/>
      <c r="CF22" s="245"/>
      <c r="CG22" s="245"/>
      <c r="CH22" s="245"/>
      <c r="CI22" s="245"/>
      <c r="CJ22" s="245"/>
    </row>
    <row r="23" spans="1:88" ht="15.75">
      <c r="A23" s="249"/>
      <c r="B23" s="247"/>
      <c r="C23" s="246"/>
      <c r="D23" s="246"/>
      <c r="E23" s="246"/>
      <c r="F23" s="246"/>
      <c r="G23" s="246"/>
      <c r="H23" s="246"/>
      <c r="I23" s="247"/>
      <c r="J23" s="248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5"/>
      <c r="BE23" s="245"/>
      <c r="BF23" s="245"/>
      <c r="BG23" s="245"/>
      <c r="BH23" s="245"/>
      <c r="BI23" s="245"/>
      <c r="BJ23" s="245"/>
      <c r="BK23" s="245"/>
      <c r="BL23" s="245"/>
      <c r="BM23" s="245"/>
      <c r="BN23" s="245"/>
      <c r="BO23" s="245"/>
      <c r="BP23" s="245"/>
      <c r="BQ23" s="245"/>
      <c r="BR23" s="245"/>
      <c r="BS23" s="245"/>
      <c r="BT23" s="245"/>
      <c r="BU23" s="245"/>
      <c r="BV23" s="245"/>
      <c r="BW23" s="245"/>
      <c r="BX23" s="245"/>
      <c r="BY23" s="245"/>
      <c r="BZ23" s="245"/>
      <c r="CA23" s="245"/>
      <c r="CB23" s="245"/>
      <c r="CC23" s="245"/>
      <c r="CD23" s="245"/>
      <c r="CE23" s="245"/>
      <c r="CF23" s="245"/>
      <c r="CG23" s="245"/>
      <c r="CH23" s="245"/>
      <c r="CI23" s="245"/>
      <c r="CJ23" s="245"/>
    </row>
    <row r="24" spans="1:88" ht="15.75">
      <c r="A24" s="249" t="s">
        <v>258</v>
      </c>
      <c r="B24" s="247">
        <v>923288.94</v>
      </c>
      <c r="C24" s="246">
        <v>0</v>
      </c>
      <c r="D24" s="246">
        <v>0</v>
      </c>
      <c r="E24" s="246">
        <v>0</v>
      </c>
      <c r="F24" s="246">
        <v>0</v>
      </c>
      <c r="G24" s="246">
        <v>0</v>
      </c>
      <c r="H24" s="246">
        <v>0</v>
      </c>
      <c r="I24" s="247">
        <f>SUM(B24:H24)</f>
        <v>923288.94</v>
      </c>
      <c r="J24" s="248">
        <f>I24-B24</f>
        <v>0</v>
      </c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245"/>
      <c r="BD24" s="245"/>
      <c r="BE24" s="245"/>
      <c r="BF24" s="245"/>
      <c r="BG24" s="245"/>
      <c r="BH24" s="245"/>
      <c r="BI24" s="245"/>
      <c r="BJ24" s="245"/>
      <c r="BK24" s="245"/>
      <c r="BL24" s="245"/>
      <c r="BM24" s="245"/>
      <c r="BN24" s="245"/>
      <c r="BO24" s="245"/>
      <c r="BP24" s="245"/>
      <c r="BQ24" s="245"/>
      <c r="BR24" s="245"/>
      <c r="BS24" s="245"/>
      <c r="BT24" s="245"/>
      <c r="BU24" s="245"/>
      <c r="BV24" s="245"/>
      <c r="BW24" s="245"/>
      <c r="BX24" s="245"/>
      <c r="BY24" s="245"/>
      <c r="BZ24" s="245"/>
      <c r="CA24" s="245"/>
      <c r="CB24" s="245"/>
      <c r="CC24" s="245"/>
      <c r="CD24" s="245"/>
      <c r="CE24" s="245"/>
      <c r="CF24" s="245"/>
      <c r="CG24" s="245"/>
      <c r="CH24" s="245"/>
      <c r="CI24" s="245"/>
      <c r="CJ24" s="245"/>
    </row>
    <row r="25" spans="1:88" ht="15.75">
      <c r="A25" s="249" t="s">
        <v>259</v>
      </c>
      <c r="B25" s="247"/>
      <c r="C25" s="246"/>
      <c r="D25" s="246"/>
      <c r="E25" s="246"/>
      <c r="F25" s="246"/>
      <c r="G25" s="246"/>
      <c r="H25" s="246"/>
      <c r="I25" s="247"/>
      <c r="J25" s="248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  <c r="BF25" s="245"/>
      <c r="BG25" s="245"/>
      <c r="BH25" s="245"/>
      <c r="BI25" s="245"/>
      <c r="BJ25" s="245"/>
      <c r="BK25" s="245"/>
      <c r="BL25" s="245"/>
      <c r="BM25" s="245"/>
      <c r="BN25" s="245"/>
      <c r="BO25" s="245"/>
      <c r="BP25" s="245"/>
      <c r="BQ25" s="245"/>
      <c r="BR25" s="245"/>
      <c r="BS25" s="245"/>
      <c r="BT25" s="245"/>
      <c r="BU25" s="245"/>
      <c r="BV25" s="245"/>
      <c r="BW25" s="245"/>
      <c r="BX25" s="245"/>
      <c r="BY25" s="245"/>
      <c r="BZ25" s="245"/>
      <c r="CA25" s="245"/>
      <c r="CB25" s="245"/>
      <c r="CC25" s="245"/>
      <c r="CD25" s="245"/>
      <c r="CE25" s="245"/>
      <c r="CF25" s="245"/>
      <c r="CG25" s="245"/>
      <c r="CH25" s="245"/>
      <c r="CI25" s="245"/>
      <c r="CJ25" s="245"/>
    </row>
    <row r="26" spans="1:88" ht="12.75">
      <c r="A26" s="241"/>
      <c r="B26" s="247"/>
      <c r="C26" s="246"/>
      <c r="D26" s="246"/>
      <c r="E26" s="246"/>
      <c r="F26" s="246"/>
      <c r="G26" s="246"/>
      <c r="H26" s="246"/>
      <c r="I26" s="247"/>
      <c r="J26" s="248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45"/>
      <c r="BI26" s="245"/>
      <c r="BJ26" s="245"/>
      <c r="BK26" s="245"/>
      <c r="BL26" s="245"/>
      <c r="BM26" s="245"/>
      <c r="BN26" s="245"/>
      <c r="BO26" s="245"/>
      <c r="BP26" s="245"/>
      <c r="BQ26" s="245"/>
      <c r="BR26" s="245"/>
      <c r="BS26" s="245"/>
      <c r="BT26" s="245"/>
      <c r="BU26" s="245"/>
      <c r="BV26" s="245"/>
      <c r="BW26" s="245"/>
      <c r="BX26" s="245"/>
      <c r="BY26" s="245"/>
      <c r="BZ26" s="245"/>
      <c r="CA26" s="245"/>
      <c r="CB26" s="245"/>
      <c r="CC26" s="245"/>
      <c r="CD26" s="245"/>
      <c r="CE26" s="245"/>
      <c r="CF26" s="245"/>
      <c r="CG26" s="245"/>
      <c r="CH26" s="245"/>
      <c r="CI26" s="245"/>
      <c r="CJ26" s="245"/>
    </row>
    <row r="27" spans="1:88" ht="12.75">
      <c r="A27" s="241" t="s">
        <v>272</v>
      </c>
      <c r="B27" s="247">
        <v>146501616.67</v>
      </c>
      <c r="C27" s="246">
        <v>0</v>
      </c>
      <c r="D27" s="246">
        <v>0</v>
      </c>
      <c r="E27" s="246">
        <v>0</v>
      </c>
      <c r="F27" s="246">
        <v>0</v>
      </c>
      <c r="G27" s="246">
        <v>0</v>
      </c>
      <c r="H27" s="246">
        <v>0</v>
      </c>
      <c r="I27" s="247">
        <f>SUM(B27:H27)</f>
        <v>146501616.67</v>
      </c>
      <c r="J27" s="248">
        <f>I27-B27</f>
        <v>0</v>
      </c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/>
      <c r="AZ27" s="245"/>
      <c r="BA27" s="245"/>
      <c r="BB27" s="245"/>
      <c r="BC27" s="245"/>
      <c r="BD27" s="245"/>
      <c r="BE27" s="245"/>
      <c r="BF27" s="245"/>
      <c r="BG27" s="245"/>
      <c r="BH27" s="245"/>
      <c r="BI27" s="245"/>
      <c r="BJ27" s="245"/>
      <c r="BK27" s="245"/>
      <c r="BL27" s="245"/>
      <c r="BM27" s="245"/>
      <c r="BN27" s="245"/>
      <c r="BO27" s="245"/>
      <c r="BP27" s="245"/>
      <c r="BQ27" s="245"/>
      <c r="BR27" s="245"/>
      <c r="BS27" s="245"/>
      <c r="BT27" s="245"/>
      <c r="BU27" s="245"/>
      <c r="BV27" s="245"/>
      <c r="BW27" s="245"/>
      <c r="BX27" s="245"/>
      <c r="BY27" s="245"/>
      <c r="BZ27" s="245"/>
      <c r="CA27" s="245"/>
      <c r="CB27" s="245"/>
      <c r="CC27" s="245"/>
      <c r="CD27" s="245"/>
      <c r="CE27" s="245"/>
      <c r="CF27" s="245"/>
      <c r="CG27" s="245"/>
      <c r="CH27" s="245"/>
      <c r="CI27" s="245"/>
      <c r="CJ27" s="245"/>
    </row>
    <row r="28" spans="1:88" ht="12.75">
      <c r="A28" s="250" t="s">
        <v>271</v>
      </c>
      <c r="B28" s="247"/>
      <c r="C28" s="243"/>
      <c r="D28" s="243"/>
      <c r="E28" s="243"/>
      <c r="F28" s="243"/>
      <c r="G28" s="243"/>
      <c r="H28" s="243"/>
      <c r="I28" s="242"/>
      <c r="J28" s="244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  <c r="BC28" s="245"/>
      <c r="BD28" s="245"/>
      <c r="BE28" s="245"/>
      <c r="BF28" s="245"/>
      <c r="BG28" s="245"/>
      <c r="BH28" s="245"/>
      <c r="BI28" s="245"/>
      <c r="BJ28" s="245"/>
      <c r="BK28" s="245"/>
      <c r="BL28" s="245"/>
      <c r="BM28" s="245"/>
      <c r="BN28" s="245"/>
      <c r="BO28" s="245"/>
      <c r="BP28" s="245"/>
      <c r="BQ28" s="245"/>
      <c r="BR28" s="245"/>
      <c r="BS28" s="245"/>
      <c r="BT28" s="245"/>
      <c r="BU28" s="245"/>
      <c r="BV28" s="245"/>
      <c r="BW28" s="245"/>
      <c r="BX28" s="245"/>
      <c r="BY28" s="245"/>
      <c r="BZ28" s="245"/>
      <c r="CA28" s="245"/>
      <c r="CB28" s="245"/>
      <c r="CC28" s="245"/>
      <c r="CD28" s="245"/>
      <c r="CE28" s="245"/>
      <c r="CF28" s="245"/>
      <c r="CG28" s="245"/>
      <c r="CH28" s="245"/>
      <c r="CI28" s="245"/>
      <c r="CJ28" s="245"/>
    </row>
    <row r="29" spans="1:88" ht="12.75">
      <c r="A29" s="251"/>
      <c r="B29" s="242"/>
      <c r="C29" s="252"/>
      <c r="D29" s="252"/>
      <c r="E29" s="252"/>
      <c r="F29" s="252"/>
      <c r="G29" s="252"/>
      <c r="H29" s="252"/>
      <c r="I29" s="242"/>
      <c r="J29" s="244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245"/>
      <c r="AS29" s="245"/>
      <c r="AT29" s="245"/>
      <c r="AU29" s="245"/>
      <c r="AV29" s="245"/>
      <c r="AW29" s="245"/>
      <c r="AX29" s="245"/>
      <c r="AY29" s="245"/>
      <c r="AZ29" s="245"/>
      <c r="BA29" s="245"/>
      <c r="BB29" s="245"/>
      <c r="BC29" s="245"/>
      <c r="BD29" s="245"/>
      <c r="BE29" s="245"/>
      <c r="BF29" s="245"/>
      <c r="BG29" s="245"/>
      <c r="BH29" s="245"/>
      <c r="BI29" s="245"/>
      <c r="BJ29" s="245"/>
      <c r="BK29" s="245"/>
      <c r="BL29" s="245"/>
      <c r="BM29" s="245"/>
      <c r="BN29" s="245"/>
      <c r="BO29" s="245"/>
      <c r="BP29" s="245"/>
      <c r="BQ29" s="245"/>
      <c r="BR29" s="245"/>
      <c r="BS29" s="245"/>
      <c r="BT29" s="245"/>
      <c r="BU29" s="245"/>
      <c r="BV29" s="245"/>
      <c r="BW29" s="245"/>
      <c r="BX29" s="245"/>
      <c r="BY29" s="245"/>
      <c r="BZ29" s="245"/>
      <c r="CA29" s="245"/>
      <c r="CB29" s="245"/>
      <c r="CC29" s="245"/>
      <c r="CD29" s="245"/>
      <c r="CE29" s="245"/>
      <c r="CF29" s="245"/>
      <c r="CG29" s="245"/>
      <c r="CH29" s="245"/>
      <c r="CI29" s="245"/>
      <c r="CJ29" s="245"/>
    </row>
    <row r="30" spans="1:88" ht="13.5" thickBot="1">
      <c r="A30" s="251"/>
      <c r="B30" s="253">
        <f aca="true" t="shared" si="0" ref="B30:J30">SUM(B11:B28)</f>
        <v>187183590.79999998</v>
      </c>
      <c r="C30" s="254">
        <f t="shared" si="0"/>
        <v>0</v>
      </c>
      <c r="D30" s="254">
        <f t="shared" si="0"/>
        <v>0</v>
      </c>
      <c r="E30" s="254">
        <f t="shared" si="0"/>
        <v>0</v>
      </c>
      <c r="F30" s="254">
        <f t="shared" si="0"/>
        <v>0</v>
      </c>
      <c r="G30" s="254">
        <f t="shared" si="0"/>
        <v>0</v>
      </c>
      <c r="H30" s="254">
        <f t="shared" si="0"/>
        <v>0</v>
      </c>
      <c r="I30" s="253">
        <f t="shared" si="0"/>
        <v>187183590.79999998</v>
      </c>
      <c r="J30" s="255">
        <f t="shared" si="0"/>
        <v>0</v>
      </c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5"/>
      <c r="BE30" s="245"/>
      <c r="BF30" s="245"/>
      <c r="BG30" s="245"/>
      <c r="BH30" s="245"/>
      <c r="BI30" s="245"/>
      <c r="BJ30" s="245"/>
      <c r="BK30" s="245"/>
      <c r="BL30" s="245"/>
      <c r="BM30" s="245"/>
      <c r="BN30" s="245"/>
      <c r="BO30" s="245"/>
      <c r="BP30" s="245"/>
      <c r="BQ30" s="245"/>
      <c r="BR30" s="245"/>
      <c r="BS30" s="245"/>
      <c r="BT30" s="245"/>
      <c r="BU30" s="245"/>
      <c r="BV30" s="245"/>
      <c r="BW30" s="245"/>
      <c r="BX30" s="245"/>
      <c r="BY30" s="245"/>
      <c r="BZ30" s="245"/>
      <c r="CA30" s="245"/>
      <c r="CB30" s="245"/>
      <c r="CC30" s="245"/>
      <c r="CD30" s="245"/>
      <c r="CE30" s="245"/>
      <c r="CF30" s="245"/>
      <c r="CG30" s="245"/>
      <c r="CH30" s="245"/>
      <c r="CI30" s="245"/>
      <c r="CJ30" s="245"/>
    </row>
    <row r="31" spans="1:10" ht="13.5" thickTop="1">
      <c r="A31" s="233"/>
      <c r="B31" s="256"/>
      <c r="C31" s="256"/>
      <c r="D31" s="256"/>
      <c r="E31" s="256"/>
      <c r="F31" s="256"/>
      <c r="G31" s="256"/>
      <c r="H31" s="256"/>
      <c r="I31" s="256"/>
      <c r="J31" s="257"/>
    </row>
    <row r="32" spans="9:10" ht="12.75">
      <c r="I32" s="250"/>
      <c r="J32" s="252"/>
    </row>
    <row r="34" spans="1:10" ht="12.75">
      <c r="A34" s="224"/>
      <c r="B34" s="225"/>
      <c r="C34" s="225"/>
      <c r="D34" s="225"/>
      <c r="E34" s="225"/>
      <c r="F34" s="225"/>
      <c r="G34" s="225"/>
      <c r="H34" s="225"/>
      <c r="I34" s="226"/>
      <c r="J34" s="227" t="s">
        <v>76</v>
      </c>
    </row>
    <row r="35" spans="1:10" ht="20.25">
      <c r="A35" s="229" t="s">
        <v>252</v>
      </c>
      <c r="B35" s="230" t="s">
        <v>73</v>
      </c>
      <c r="C35" s="230" t="s">
        <v>64</v>
      </c>
      <c r="D35" s="230" t="s">
        <v>65</v>
      </c>
      <c r="E35" s="230" t="s">
        <v>66</v>
      </c>
      <c r="F35" s="230" t="s">
        <v>67</v>
      </c>
      <c r="G35" s="230" t="s">
        <v>68</v>
      </c>
      <c r="H35" s="230" t="s">
        <v>69</v>
      </c>
      <c r="I35" s="231" t="s">
        <v>80</v>
      </c>
      <c r="J35" s="232" t="s">
        <v>77</v>
      </c>
    </row>
    <row r="36" spans="1:10" ht="12.75">
      <c r="A36" s="233"/>
      <c r="B36" s="234">
        <v>42551</v>
      </c>
      <c r="C36" s="235">
        <v>2016</v>
      </c>
      <c r="D36" s="235">
        <v>2016</v>
      </c>
      <c r="E36" s="235">
        <v>2016</v>
      </c>
      <c r="F36" s="235">
        <v>2016</v>
      </c>
      <c r="G36" s="235">
        <v>2016</v>
      </c>
      <c r="H36" s="235">
        <v>2016</v>
      </c>
      <c r="I36" s="236" t="s">
        <v>0</v>
      </c>
      <c r="J36" s="237" t="s">
        <v>89</v>
      </c>
    </row>
    <row r="38" spans="1:10" ht="12.75">
      <c r="A38" s="224"/>
      <c r="B38" s="238"/>
      <c r="C38" s="239"/>
      <c r="D38" s="239"/>
      <c r="E38" s="239"/>
      <c r="F38" s="239"/>
      <c r="G38" s="239"/>
      <c r="H38" s="239"/>
      <c r="I38" s="239"/>
      <c r="J38" s="240"/>
    </row>
    <row r="39" spans="1:10" ht="12.75">
      <c r="A39" s="241" t="s">
        <v>248</v>
      </c>
      <c r="B39" s="242">
        <f>+I11</f>
        <v>30253550.990000002</v>
      </c>
      <c r="C39" s="243">
        <v>0</v>
      </c>
      <c r="D39" s="243">
        <v>0</v>
      </c>
      <c r="E39" s="243">
        <v>0</v>
      </c>
      <c r="F39" s="243">
        <v>0</v>
      </c>
      <c r="G39" s="243">
        <v>0</v>
      </c>
      <c r="H39" s="243">
        <v>0</v>
      </c>
      <c r="I39" s="258">
        <f>SUM(B39:H39)</f>
        <v>30253550.990000002</v>
      </c>
      <c r="J39" s="244">
        <f>I39-B39+J11</f>
        <v>0</v>
      </c>
    </row>
    <row r="40" spans="1:10" ht="12.75">
      <c r="A40" s="241" t="s">
        <v>266</v>
      </c>
      <c r="B40" s="242"/>
      <c r="C40" s="243"/>
      <c r="D40" s="243"/>
      <c r="E40" s="243"/>
      <c r="F40" s="243"/>
      <c r="G40" s="243"/>
      <c r="H40" s="243"/>
      <c r="I40" s="247"/>
      <c r="J40" s="244"/>
    </row>
    <row r="41" spans="1:12" ht="15.75">
      <c r="A41" s="241"/>
      <c r="B41" s="242"/>
      <c r="C41" s="246"/>
      <c r="D41" s="246"/>
      <c r="E41" s="246"/>
      <c r="F41" s="246"/>
      <c r="G41" s="246"/>
      <c r="H41" s="246"/>
      <c r="I41" s="247"/>
      <c r="J41" s="248"/>
      <c r="K41" s="249"/>
      <c r="L41" s="249"/>
    </row>
    <row r="42" spans="1:11" ht="15.75">
      <c r="A42" s="241" t="s">
        <v>249</v>
      </c>
      <c r="B42" s="247">
        <f>+I14</f>
        <v>571533.13</v>
      </c>
      <c r="C42" s="246">
        <v>0</v>
      </c>
      <c r="D42" s="246">
        <v>0</v>
      </c>
      <c r="E42" s="246">
        <v>0</v>
      </c>
      <c r="F42" s="246">
        <v>0</v>
      </c>
      <c r="G42" s="246">
        <v>0</v>
      </c>
      <c r="H42" s="246">
        <v>0</v>
      </c>
      <c r="I42" s="258">
        <f>SUM(B42:H42)</f>
        <v>571533.13</v>
      </c>
      <c r="J42" s="248">
        <f>I42-B42+J14</f>
        <v>0</v>
      </c>
      <c r="K42" s="249"/>
    </row>
    <row r="43" spans="1:12" ht="15.75">
      <c r="A43" s="241" t="s">
        <v>267</v>
      </c>
      <c r="B43" s="242"/>
      <c r="C43" s="246"/>
      <c r="D43" s="246"/>
      <c r="E43" s="246"/>
      <c r="F43" s="246"/>
      <c r="G43" s="246"/>
      <c r="H43" s="246"/>
      <c r="I43" s="247"/>
      <c r="J43" s="248"/>
      <c r="K43" s="259">
        <f>SUM(I39:I43)</f>
        <v>30825084.12</v>
      </c>
      <c r="L43" s="245"/>
    </row>
    <row r="44" spans="1:11" ht="15" customHeight="1">
      <c r="A44" s="241"/>
      <c r="B44" s="247"/>
      <c r="C44" s="246"/>
      <c r="D44" s="246"/>
      <c r="E44" s="246"/>
      <c r="F44" s="246"/>
      <c r="G44" s="246"/>
      <c r="H44" s="246"/>
      <c r="I44" s="242"/>
      <c r="J44" s="248"/>
      <c r="K44" s="260"/>
    </row>
    <row r="45" spans="1:12" ht="15.75">
      <c r="A45" s="241" t="s">
        <v>250</v>
      </c>
      <c r="B45" s="247">
        <f>+I17</f>
        <v>5930843.53</v>
      </c>
      <c r="C45" s="246">
        <v>0</v>
      </c>
      <c r="D45" s="246">
        <v>0</v>
      </c>
      <c r="E45" s="246">
        <v>0</v>
      </c>
      <c r="F45" s="246">
        <v>0</v>
      </c>
      <c r="G45" s="246">
        <v>0</v>
      </c>
      <c r="H45" s="246">
        <v>0</v>
      </c>
      <c r="I45" s="261">
        <f>SUM(B45:H45)</f>
        <v>5930843.53</v>
      </c>
      <c r="J45" s="248">
        <f>I45-B45+J17</f>
        <v>0</v>
      </c>
      <c r="K45" s="261">
        <f>+I45</f>
        <v>5930843.53</v>
      </c>
      <c r="L45" s="249"/>
    </row>
    <row r="46" spans="1:12" ht="15.75">
      <c r="A46" s="241" t="s">
        <v>268</v>
      </c>
      <c r="B46" s="247"/>
      <c r="C46" s="246"/>
      <c r="D46" s="246"/>
      <c r="E46" s="246"/>
      <c r="F46" s="246"/>
      <c r="G46" s="246"/>
      <c r="H46" s="246"/>
      <c r="I46" s="247"/>
      <c r="J46" s="262"/>
      <c r="K46" s="263"/>
      <c r="L46" s="264" t="s">
        <v>251</v>
      </c>
    </row>
    <row r="47" spans="1:12" ht="15.75">
      <c r="A47" s="241" t="s">
        <v>269</v>
      </c>
      <c r="B47" s="247"/>
      <c r="C47" s="246"/>
      <c r="D47" s="246"/>
      <c r="E47" s="246"/>
      <c r="F47" s="246"/>
      <c r="G47" s="246"/>
      <c r="H47" s="246"/>
      <c r="I47" s="247"/>
      <c r="J47" s="262"/>
      <c r="K47" s="263"/>
      <c r="L47" s="264"/>
    </row>
    <row r="48" spans="1:13" ht="15.75">
      <c r="A48" s="241"/>
      <c r="B48" s="247"/>
      <c r="C48" s="246"/>
      <c r="D48" s="246"/>
      <c r="E48" s="246"/>
      <c r="F48" s="246"/>
      <c r="G48" s="246"/>
      <c r="H48" s="246"/>
      <c r="I48" s="247"/>
      <c r="J48" s="262"/>
      <c r="K48" s="265"/>
      <c r="L48" s="249">
        <f>+K43+K45+K49</f>
        <v>39758685.19</v>
      </c>
      <c r="M48" s="220" t="s">
        <v>211</v>
      </c>
    </row>
    <row r="49" spans="1:11" ht="15.75">
      <c r="A49" s="241" t="s">
        <v>14</v>
      </c>
      <c r="B49" s="247">
        <f>+I21</f>
        <v>3002757.54</v>
      </c>
      <c r="C49" s="246">
        <v>0</v>
      </c>
      <c r="D49" s="246">
        <v>0</v>
      </c>
      <c r="E49" s="246">
        <v>0</v>
      </c>
      <c r="F49" s="246">
        <v>0</v>
      </c>
      <c r="G49" s="266">
        <v>0</v>
      </c>
      <c r="H49" s="246">
        <v>0</v>
      </c>
      <c r="I49" s="267">
        <f>SUM(B49:H49)</f>
        <v>3002757.54</v>
      </c>
      <c r="J49" s="248">
        <f>I49-B49+J21-G49</f>
        <v>0</v>
      </c>
      <c r="K49" s="268">
        <f>+I49</f>
        <v>3002757.54</v>
      </c>
    </row>
    <row r="50" spans="1:12" ht="15.75">
      <c r="A50" s="249" t="s">
        <v>270</v>
      </c>
      <c r="B50" s="247"/>
      <c r="C50" s="246"/>
      <c r="D50" s="246"/>
      <c r="E50" s="246"/>
      <c r="F50" s="246"/>
      <c r="G50" s="266"/>
      <c r="H50" s="246"/>
      <c r="I50" s="247"/>
      <c r="J50" s="248"/>
      <c r="K50" s="265"/>
      <c r="L50" s="249"/>
    </row>
    <row r="51" spans="1:12" ht="15.75">
      <c r="A51" s="249"/>
      <c r="B51" s="247"/>
      <c r="C51" s="246"/>
      <c r="D51" s="246"/>
      <c r="E51" s="246"/>
      <c r="F51" s="246"/>
      <c r="G51" s="266"/>
      <c r="H51" s="246"/>
      <c r="I51" s="247"/>
      <c r="J51" s="248"/>
      <c r="K51" s="265"/>
      <c r="L51" s="249"/>
    </row>
    <row r="52" spans="1:13" ht="15.75">
      <c r="A52" s="249" t="s">
        <v>258</v>
      </c>
      <c r="B52" s="247">
        <f>+I24</f>
        <v>923288.94</v>
      </c>
      <c r="C52" s="246">
        <v>0</v>
      </c>
      <c r="D52" s="246">
        <v>0</v>
      </c>
      <c r="E52" s="246">
        <v>0</v>
      </c>
      <c r="F52" s="246">
        <v>0</v>
      </c>
      <c r="G52" s="266">
        <v>0</v>
      </c>
      <c r="H52" s="246">
        <v>0</v>
      </c>
      <c r="I52" s="247">
        <f>SUM(B52:H52)</f>
        <v>923288.94</v>
      </c>
      <c r="J52" s="248">
        <f>I52-B52+J24-G52</f>
        <v>0</v>
      </c>
      <c r="K52" s="265">
        <f>+I52</f>
        <v>923288.94</v>
      </c>
      <c r="L52" s="249">
        <f>+K52</f>
        <v>923288.94</v>
      </c>
      <c r="M52" s="220" t="s">
        <v>260</v>
      </c>
    </row>
    <row r="53" spans="1:12" ht="15.75">
      <c r="A53" s="249" t="s">
        <v>259</v>
      </c>
      <c r="B53" s="247"/>
      <c r="C53" s="246"/>
      <c r="D53" s="246"/>
      <c r="E53" s="246"/>
      <c r="F53" s="246"/>
      <c r="G53" s="266"/>
      <c r="H53" s="246"/>
      <c r="I53" s="247"/>
      <c r="J53" s="248"/>
      <c r="K53" s="265"/>
      <c r="L53" s="249"/>
    </row>
    <row r="54" spans="1:12" ht="15.75">
      <c r="A54" s="249"/>
      <c r="B54" s="247"/>
      <c r="C54" s="246"/>
      <c r="D54" s="246"/>
      <c r="E54" s="246"/>
      <c r="F54" s="246"/>
      <c r="G54" s="266"/>
      <c r="H54" s="246"/>
      <c r="I54" s="247"/>
      <c r="J54" s="248"/>
      <c r="K54" s="265"/>
      <c r="L54" s="249"/>
    </row>
    <row r="55" spans="1:13" ht="15.75">
      <c r="A55" s="241" t="s">
        <v>272</v>
      </c>
      <c r="B55" s="247">
        <f>+I27</f>
        <v>146501616.67</v>
      </c>
      <c r="C55" s="246">
        <v>0</v>
      </c>
      <c r="D55" s="246">
        <v>0</v>
      </c>
      <c r="E55" s="246">
        <v>0</v>
      </c>
      <c r="F55" s="246">
        <v>0</v>
      </c>
      <c r="G55" s="246">
        <v>0</v>
      </c>
      <c r="H55" s="246">
        <v>0</v>
      </c>
      <c r="I55" s="269">
        <f>SUM(B55:H55)</f>
        <v>146501616.67</v>
      </c>
      <c r="J55" s="248">
        <f>I55-B55+J27-G55</f>
        <v>0</v>
      </c>
      <c r="K55" s="270">
        <f>+I55</f>
        <v>146501616.67</v>
      </c>
      <c r="L55" s="249">
        <f>+K55</f>
        <v>146501616.67</v>
      </c>
      <c r="M55" s="220" t="s">
        <v>212</v>
      </c>
    </row>
    <row r="56" spans="1:11" ht="15.75">
      <c r="A56" s="250" t="s">
        <v>271</v>
      </c>
      <c r="B56" s="247"/>
      <c r="C56" s="243"/>
      <c r="D56" s="243"/>
      <c r="E56" s="243"/>
      <c r="F56" s="243"/>
      <c r="G56" s="243"/>
      <c r="H56" s="243"/>
      <c r="I56" s="271"/>
      <c r="J56" s="272"/>
      <c r="K56" s="249"/>
    </row>
    <row r="57" spans="1:12" ht="15.75">
      <c r="A57" s="250"/>
      <c r="B57" s="242"/>
      <c r="C57" s="273"/>
      <c r="D57" s="273"/>
      <c r="E57" s="273"/>
      <c r="F57" s="273"/>
      <c r="G57" s="273"/>
      <c r="H57" s="273"/>
      <c r="I57" s="271"/>
      <c r="J57" s="272"/>
      <c r="K57" s="265"/>
      <c r="L57" s="274"/>
    </row>
    <row r="58" spans="1:12" ht="16.5" thickBot="1">
      <c r="A58" s="251"/>
      <c r="B58" s="253">
        <f aca="true" t="shared" si="1" ref="B58:J58">SUM(B39:B56)</f>
        <v>187183590.79999998</v>
      </c>
      <c r="C58" s="275">
        <f t="shared" si="1"/>
        <v>0</v>
      </c>
      <c r="D58" s="275">
        <f t="shared" si="1"/>
        <v>0</v>
      </c>
      <c r="E58" s="275">
        <f t="shared" si="1"/>
        <v>0</v>
      </c>
      <c r="F58" s="275">
        <f t="shared" si="1"/>
        <v>0</v>
      </c>
      <c r="G58" s="275">
        <f t="shared" si="1"/>
        <v>0</v>
      </c>
      <c r="H58" s="275">
        <f t="shared" si="1"/>
        <v>0</v>
      </c>
      <c r="I58" s="276">
        <f t="shared" si="1"/>
        <v>187183590.79999998</v>
      </c>
      <c r="J58" s="277">
        <f t="shared" si="1"/>
        <v>0</v>
      </c>
      <c r="K58" s="265"/>
      <c r="L58" s="278"/>
    </row>
    <row r="59" spans="1:10" ht="13.5" thickTop="1">
      <c r="A59" s="233"/>
      <c r="B59" s="256"/>
      <c r="C59" s="256"/>
      <c r="D59" s="256"/>
      <c r="E59" s="256"/>
      <c r="F59" s="256"/>
      <c r="G59" s="256"/>
      <c r="H59" s="256"/>
      <c r="I59" s="256"/>
      <c r="J59" s="257"/>
    </row>
    <row r="63" spans="1:11" ht="12.75">
      <c r="A63" s="224"/>
      <c r="B63" s="225"/>
      <c r="C63" s="225"/>
      <c r="D63" s="225"/>
      <c r="E63" s="225"/>
      <c r="F63" s="225"/>
      <c r="G63" s="225"/>
      <c r="H63" s="225"/>
      <c r="I63" s="226"/>
      <c r="J63" s="227"/>
      <c r="K63" s="228"/>
    </row>
    <row r="64" spans="1:11" ht="20.25">
      <c r="A64" s="229" t="s">
        <v>247</v>
      </c>
      <c r="B64" s="230" t="s">
        <v>73</v>
      </c>
      <c r="C64" s="230" t="s">
        <v>59</v>
      </c>
      <c r="D64" s="230" t="s">
        <v>60</v>
      </c>
      <c r="E64" s="230" t="s">
        <v>58</v>
      </c>
      <c r="F64" s="230" t="s">
        <v>61</v>
      </c>
      <c r="G64" s="230" t="s">
        <v>62</v>
      </c>
      <c r="H64" s="230" t="s">
        <v>63</v>
      </c>
      <c r="I64" s="231" t="s">
        <v>74</v>
      </c>
      <c r="J64" s="232"/>
      <c r="K64" s="228"/>
    </row>
    <row r="65" spans="1:11" ht="12.75">
      <c r="A65" s="233"/>
      <c r="B65" s="234">
        <v>42369</v>
      </c>
      <c r="C65" s="235">
        <v>2016</v>
      </c>
      <c r="D65" s="235">
        <v>2016</v>
      </c>
      <c r="E65" s="235">
        <v>2016</v>
      </c>
      <c r="F65" s="235">
        <v>2016</v>
      </c>
      <c r="G65" s="235">
        <v>2016</v>
      </c>
      <c r="H65" s="235">
        <v>2016</v>
      </c>
      <c r="I65" s="236" t="s">
        <v>75</v>
      </c>
      <c r="J65" s="237"/>
      <c r="K65" s="228"/>
    </row>
    <row r="67" spans="1:10" ht="12.75">
      <c r="A67" s="224"/>
      <c r="B67" s="238"/>
      <c r="C67" s="239"/>
      <c r="D67" s="239"/>
      <c r="E67" s="239"/>
      <c r="F67" s="239"/>
      <c r="G67" s="239"/>
      <c r="H67" s="239"/>
      <c r="I67" s="239"/>
      <c r="J67" s="240"/>
    </row>
    <row r="68" spans="1:13" ht="12.75">
      <c r="A68" s="241" t="s">
        <v>248</v>
      </c>
      <c r="B68" s="242">
        <v>20693972.95</v>
      </c>
      <c r="C68" s="243">
        <v>261887.47</v>
      </c>
      <c r="D68" s="243">
        <v>261947.03</v>
      </c>
      <c r="E68" s="243">
        <v>261947.03</v>
      </c>
      <c r="F68" s="243">
        <v>0</v>
      </c>
      <c r="G68" s="243">
        <v>0</v>
      </c>
      <c r="H68" s="243">
        <v>0</v>
      </c>
      <c r="I68" s="242">
        <f>SUM(B68:H68)</f>
        <v>21479754.48</v>
      </c>
      <c r="J68" s="244"/>
      <c r="K68" s="245"/>
      <c r="L68" s="245"/>
      <c r="M68" s="245"/>
    </row>
    <row r="69" spans="1:13" ht="12.75">
      <c r="A69" s="241" t="s">
        <v>264</v>
      </c>
      <c r="B69" s="242"/>
      <c r="C69" s="243"/>
      <c r="D69" s="243"/>
      <c r="E69" s="243"/>
      <c r="F69" s="243"/>
      <c r="G69" s="243"/>
      <c r="H69" s="243"/>
      <c r="I69" s="242"/>
      <c r="J69" s="244"/>
      <c r="K69" s="245"/>
      <c r="L69" s="245"/>
      <c r="M69" s="245"/>
    </row>
    <row r="70" spans="1:13" ht="12.75">
      <c r="A70" s="241"/>
      <c r="B70" s="242"/>
      <c r="C70" s="243"/>
      <c r="D70" s="243"/>
      <c r="E70" s="243"/>
      <c r="F70" s="243"/>
      <c r="G70" s="243"/>
      <c r="H70" s="243"/>
      <c r="I70" s="242"/>
      <c r="J70" s="244"/>
      <c r="K70" s="245"/>
      <c r="L70" s="245"/>
      <c r="M70" s="245"/>
    </row>
    <row r="71" spans="1:13" ht="12.75">
      <c r="A71" s="241" t="s">
        <v>249</v>
      </c>
      <c r="B71" s="247">
        <v>490608.6299999999</v>
      </c>
      <c r="C71" s="246">
        <v>2474.19</v>
      </c>
      <c r="D71" s="246">
        <v>2474.19</v>
      </c>
      <c r="E71" s="246">
        <v>2474.19</v>
      </c>
      <c r="F71" s="246">
        <v>0</v>
      </c>
      <c r="G71" s="246">
        <v>0</v>
      </c>
      <c r="H71" s="246">
        <v>0</v>
      </c>
      <c r="I71" s="247">
        <f>SUM(B71:H71)</f>
        <v>498031.1999999999</v>
      </c>
      <c r="J71" s="248"/>
      <c r="K71" s="245"/>
      <c r="L71" s="245"/>
      <c r="M71" s="245"/>
    </row>
    <row r="72" spans="1:12" ht="15.75">
      <c r="A72" s="241" t="s">
        <v>265</v>
      </c>
      <c r="B72" s="242"/>
      <c r="C72" s="243"/>
      <c r="D72" s="243"/>
      <c r="E72" s="243"/>
      <c r="F72" s="243"/>
      <c r="G72" s="243"/>
      <c r="H72" s="243"/>
      <c r="I72" s="242"/>
      <c r="J72" s="244"/>
      <c r="K72" s="259">
        <f>SUM(I68:I72)</f>
        <v>21977785.68</v>
      </c>
      <c r="L72" s="245"/>
    </row>
    <row r="73" spans="1:11" ht="15.75">
      <c r="A73" s="241"/>
      <c r="B73" s="247"/>
      <c r="C73" s="246"/>
      <c r="D73" s="246"/>
      <c r="E73" s="246"/>
      <c r="F73" s="246"/>
      <c r="G73" s="246"/>
      <c r="H73" s="246"/>
      <c r="I73" s="247"/>
      <c r="J73" s="248"/>
      <c r="K73" s="260"/>
    </row>
    <row r="74" spans="1:12" ht="15.75">
      <c r="A74" s="241" t="s">
        <v>254</v>
      </c>
      <c r="B74" s="247">
        <v>1499837.8599999996</v>
      </c>
      <c r="C74" s="246">
        <v>42611.61</v>
      </c>
      <c r="D74" s="246">
        <v>47184.89</v>
      </c>
      <c r="E74" s="246">
        <v>47184.89</v>
      </c>
      <c r="F74" s="246">
        <v>0</v>
      </c>
      <c r="G74" s="246">
        <v>0</v>
      </c>
      <c r="H74" s="246">
        <v>0</v>
      </c>
      <c r="I74" s="247">
        <f>SUM(B74:H74)</f>
        <v>1636819.2499999995</v>
      </c>
      <c r="J74" s="248"/>
      <c r="K74" s="261">
        <f>+I74</f>
        <v>1636819.2499999995</v>
      </c>
      <c r="L74" s="249"/>
    </row>
    <row r="75" spans="1:12" ht="15.75">
      <c r="A75" s="241" t="s">
        <v>273</v>
      </c>
      <c r="B75" s="247"/>
      <c r="C75" s="279"/>
      <c r="D75" s="279"/>
      <c r="E75" s="279"/>
      <c r="F75" s="279"/>
      <c r="G75" s="279"/>
      <c r="H75" s="279"/>
      <c r="I75" s="247"/>
      <c r="J75" s="248"/>
      <c r="K75" s="263"/>
      <c r="L75" s="264" t="s">
        <v>251</v>
      </c>
    </row>
    <row r="76" spans="1:13" ht="15.75">
      <c r="A76" s="241"/>
      <c r="B76" s="247"/>
      <c r="C76" s="246"/>
      <c r="D76" s="246"/>
      <c r="E76" s="246"/>
      <c r="F76" s="246"/>
      <c r="G76" s="246"/>
      <c r="H76" s="246"/>
      <c r="I76" s="247"/>
      <c r="J76" s="248"/>
      <c r="K76" s="263"/>
      <c r="L76" s="249">
        <f>+K72+K74+K77</f>
        <v>24687635.17</v>
      </c>
      <c r="M76" s="220" t="s">
        <v>211</v>
      </c>
    </row>
    <row r="77" spans="1:12" ht="15.75">
      <c r="A77" s="241" t="s">
        <v>14</v>
      </c>
      <c r="B77" s="247">
        <v>938815.4300000002</v>
      </c>
      <c r="C77" s="246">
        <v>44938.27</v>
      </c>
      <c r="D77" s="246">
        <v>44638.27</v>
      </c>
      <c r="E77" s="246">
        <v>44638.27</v>
      </c>
      <c r="F77" s="246">
        <v>0</v>
      </c>
      <c r="G77" s="246">
        <v>0</v>
      </c>
      <c r="H77" s="246">
        <v>0</v>
      </c>
      <c r="I77" s="247">
        <f>SUM(B77:H77)</f>
        <v>1073030.2400000002</v>
      </c>
      <c r="J77" s="248"/>
      <c r="K77" s="268">
        <f>+I77</f>
        <v>1073030.2400000002</v>
      </c>
      <c r="L77" s="249"/>
    </row>
    <row r="78" spans="1:11" ht="15.75">
      <c r="A78" s="249" t="s">
        <v>262</v>
      </c>
      <c r="B78" s="247"/>
      <c r="C78" s="279"/>
      <c r="D78" s="279"/>
      <c r="E78" s="279"/>
      <c r="F78" s="279"/>
      <c r="G78" s="279"/>
      <c r="H78" s="279"/>
      <c r="I78" s="247"/>
      <c r="J78" s="248"/>
      <c r="K78" s="265"/>
    </row>
    <row r="79" spans="1:11" ht="15.75">
      <c r="A79" s="249"/>
      <c r="B79" s="247"/>
      <c r="C79" s="279"/>
      <c r="D79" s="279"/>
      <c r="E79" s="279"/>
      <c r="F79" s="279"/>
      <c r="G79" s="279"/>
      <c r="H79" s="279"/>
      <c r="I79" s="247"/>
      <c r="J79" s="248"/>
      <c r="K79" s="265"/>
    </row>
    <row r="80" spans="1:13" ht="15.75">
      <c r="A80" s="249" t="s">
        <v>258</v>
      </c>
      <c r="B80" s="247">
        <v>538585.25</v>
      </c>
      <c r="C80" s="246">
        <v>76940.75</v>
      </c>
      <c r="D80" s="246">
        <v>76940.75</v>
      </c>
      <c r="E80" s="246">
        <v>76940.75</v>
      </c>
      <c r="F80" s="246">
        <v>0</v>
      </c>
      <c r="G80" s="246">
        <v>0</v>
      </c>
      <c r="H80" s="246">
        <v>0</v>
      </c>
      <c r="I80" s="247">
        <f>SUM(B80:H80)</f>
        <v>769407.5</v>
      </c>
      <c r="J80" s="248"/>
      <c r="K80" s="265">
        <f>+I80</f>
        <v>769407.5</v>
      </c>
      <c r="L80" s="280">
        <f>+K80</f>
        <v>769407.5</v>
      </c>
      <c r="M80" s="220" t="s">
        <v>260</v>
      </c>
    </row>
    <row r="81" spans="1:11" ht="15.75">
      <c r="A81" s="249" t="s">
        <v>261</v>
      </c>
      <c r="B81" s="247"/>
      <c r="C81" s="279"/>
      <c r="D81" s="279"/>
      <c r="E81" s="279"/>
      <c r="F81" s="279"/>
      <c r="G81" s="279"/>
      <c r="H81" s="279"/>
      <c r="I81" s="247"/>
      <c r="J81" s="248"/>
      <c r="K81" s="265"/>
    </row>
    <row r="82" spans="1:12" ht="15.75">
      <c r="A82" s="241"/>
      <c r="B82" s="247"/>
      <c r="C82" s="246"/>
      <c r="D82" s="246"/>
      <c r="E82" s="246"/>
      <c r="F82" s="246"/>
      <c r="G82" s="246"/>
      <c r="H82" s="246"/>
      <c r="I82" s="247"/>
      <c r="J82" s="248"/>
      <c r="K82" s="265"/>
      <c r="L82" s="249"/>
    </row>
    <row r="83" spans="1:13" ht="15.75">
      <c r="A83" s="241" t="s">
        <v>272</v>
      </c>
      <c r="B83" s="247">
        <v>47316987.24000004</v>
      </c>
      <c r="C83" s="246">
        <v>402879.45</v>
      </c>
      <c r="D83" s="246">
        <v>402879.45</v>
      </c>
      <c r="E83" s="246">
        <v>402879.45</v>
      </c>
      <c r="F83" s="246">
        <v>0</v>
      </c>
      <c r="G83" s="246">
        <v>0</v>
      </c>
      <c r="H83" s="246">
        <v>0</v>
      </c>
      <c r="I83" s="247">
        <f>SUM(B83:H83)</f>
        <v>48525625.59000005</v>
      </c>
      <c r="J83" s="248"/>
      <c r="K83" s="270">
        <f>+I83</f>
        <v>48525625.59000005</v>
      </c>
      <c r="L83" s="249">
        <f>+K83</f>
        <v>48525625.59000005</v>
      </c>
      <c r="M83" s="220" t="s">
        <v>212</v>
      </c>
    </row>
    <row r="84" spans="1:12" ht="15.75">
      <c r="A84" s="250" t="s">
        <v>263</v>
      </c>
      <c r="B84" s="247"/>
      <c r="C84" s="246"/>
      <c r="D84" s="246"/>
      <c r="E84" s="246"/>
      <c r="F84" s="246"/>
      <c r="G84" s="246"/>
      <c r="H84" s="246"/>
      <c r="I84" s="247"/>
      <c r="J84" s="248"/>
      <c r="K84" s="265"/>
      <c r="L84" s="249"/>
    </row>
    <row r="85" spans="1:13" ht="12.75">
      <c r="A85" s="251"/>
      <c r="B85" s="242"/>
      <c r="C85" s="252"/>
      <c r="D85" s="252"/>
      <c r="E85" s="252"/>
      <c r="F85" s="252"/>
      <c r="G85" s="252"/>
      <c r="H85" s="252"/>
      <c r="I85" s="242"/>
      <c r="J85" s="244"/>
      <c r="K85" s="245"/>
      <c r="L85" s="245"/>
      <c r="M85" s="245"/>
    </row>
    <row r="86" spans="1:13" ht="13.5" thickBot="1">
      <c r="A86" s="251"/>
      <c r="B86" s="253">
        <f aca="true" t="shared" si="2" ref="B86:J86">SUM(B68:B84)</f>
        <v>71478807.36000004</v>
      </c>
      <c r="C86" s="254">
        <f t="shared" si="2"/>
        <v>831731.74</v>
      </c>
      <c r="D86" s="254">
        <f t="shared" si="2"/>
        <v>836064.5800000001</v>
      </c>
      <c r="E86" s="254">
        <f t="shared" si="2"/>
        <v>836064.5800000001</v>
      </c>
      <c r="F86" s="254">
        <f t="shared" si="2"/>
        <v>0</v>
      </c>
      <c r="G86" s="254">
        <f t="shared" si="2"/>
        <v>0</v>
      </c>
      <c r="H86" s="254">
        <f t="shared" si="2"/>
        <v>0</v>
      </c>
      <c r="I86" s="253">
        <f t="shared" si="2"/>
        <v>73982668.26000005</v>
      </c>
      <c r="J86" s="255">
        <f t="shared" si="2"/>
        <v>0</v>
      </c>
      <c r="K86" s="245"/>
      <c r="L86" s="280">
        <f>+L76+L83+L80</f>
        <v>73982668.26000005</v>
      </c>
      <c r="M86" s="245" t="s">
        <v>255</v>
      </c>
    </row>
    <row r="87" spans="1:10" ht="13.5" thickTop="1">
      <c r="A87" s="281"/>
      <c r="B87" s="256"/>
      <c r="C87" s="256"/>
      <c r="D87" s="256"/>
      <c r="E87" s="256"/>
      <c r="F87" s="256"/>
      <c r="G87" s="256"/>
      <c r="H87" s="256"/>
      <c r="I87" s="256"/>
      <c r="J87" s="257"/>
    </row>
    <row r="88" spans="9:10" ht="12.75">
      <c r="I88" s="250"/>
      <c r="J88" s="252"/>
    </row>
    <row r="90" spans="1:10" ht="12.75">
      <c r="A90" s="224"/>
      <c r="B90" s="225"/>
      <c r="C90" s="225"/>
      <c r="D90" s="225"/>
      <c r="E90" s="225"/>
      <c r="F90" s="225"/>
      <c r="G90" s="225"/>
      <c r="H90" s="225"/>
      <c r="I90" s="226"/>
      <c r="J90" s="227"/>
    </row>
    <row r="91" spans="1:10" ht="12.75">
      <c r="A91" s="282"/>
      <c r="B91" s="230" t="s">
        <v>73</v>
      </c>
      <c r="C91" s="230" t="s">
        <v>64</v>
      </c>
      <c r="D91" s="230" t="s">
        <v>65</v>
      </c>
      <c r="E91" s="230" t="s">
        <v>66</v>
      </c>
      <c r="F91" s="230" t="s">
        <v>67</v>
      </c>
      <c r="G91" s="230" t="s">
        <v>68</v>
      </c>
      <c r="H91" s="230" t="s">
        <v>69</v>
      </c>
      <c r="I91" s="231" t="s">
        <v>80</v>
      </c>
      <c r="J91" s="232"/>
    </row>
    <row r="92" spans="1:10" ht="12.75">
      <c r="A92" s="233"/>
      <c r="B92" s="234">
        <v>42551</v>
      </c>
      <c r="C92" s="235">
        <v>2016</v>
      </c>
      <c r="D92" s="235">
        <v>2016</v>
      </c>
      <c r="E92" s="235">
        <v>2016</v>
      </c>
      <c r="F92" s="235">
        <v>2016</v>
      </c>
      <c r="G92" s="235">
        <v>2016</v>
      </c>
      <c r="H92" s="235">
        <v>2016</v>
      </c>
      <c r="I92" s="236" t="s">
        <v>0</v>
      </c>
      <c r="J92" s="237"/>
    </row>
    <row r="94" spans="1:10" ht="12.75">
      <c r="A94" s="224"/>
      <c r="B94" s="238"/>
      <c r="C94" s="239"/>
      <c r="D94" s="239"/>
      <c r="E94" s="239"/>
      <c r="F94" s="239"/>
      <c r="G94" s="239"/>
      <c r="H94" s="239"/>
      <c r="I94" s="239"/>
      <c r="J94" s="240"/>
    </row>
    <row r="95" spans="1:10" ht="12.75">
      <c r="A95" s="241" t="s">
        <v>248</v>
      </c>
      <c r="B95" s="242">
        <f>+I68</f>
        <v>21479754.48</v>
      </c>
      <c r="C95" s="243">
        <v>0</v>
      </c>
      <c r="D95" s="243">
        <v>0</v>
      </c>
      <c r="E95" s="243">
        <v>0</v>
      </c>
      <c r="F95" s="243">
        <v>0</v>
      </c>
      <c r="G95" s="243">
        <v>0</v>
      </c>
      <c r="H95" s="243">
        <v>0</v>
      </c>
      <c r="I95" s="258">
        <f>SUM(B95:H95)</f>
        <v>21479754.48</v>
      </c>
      <c r="J95" s="244"/>
    </row>
    <row r="96" spans="1:10" ht="12.75">
      <c r="A96" s="241" t="s">
        <v>264</v>
      </c>
      <c r="B96" s="247"/>
      <c r="C96" s="246"/>
      <c r="D96" s="246"/>
      <c r="E96" s="246"/>
      <c r="F96" s="246"/>
      <c r="G96" s="246"/>
      <c r="H96" s="246"/>
      <c r="I96" s="247"/>
      <c r="J96" s="244"/>
    </row>
    <row r="97" spans="1:10" ht="12.75">
      <c r="A97" s="241"/>
      <c r="B97" s="247"/>
      <c r="C97" s="246"/>
      <c r="D97" s="246"/>
      <c r="E97" s="246"/>
      <c r="F97" s="246"/>
      <c r="G97" s="246"/>
      <c r="H97" s="246"/>
      <c r="I97" s="247"/>
      <c r="J97" s="244"/>
    </row>
    <row r="98" spans="1:10" ht="12.75">
      <c r="A98" s="241" t="s">
        <v>249</v>
      </c>
      <c r="B98" s="247">
        <f>+I71</f>
        <v>498031.1999999999</v>
      </c>
      <c r="C98" s="246">
        <v>0</v>
      </c>
      <c r="D98" s="246">
        <v>0</v>
      </c>
      <c r="E98" s="246">
        <v>0</v>
      </c>
      <c r="F98" s="246">
        <v>0</v>
      </c>
      <c r="G98" s="246">
        <v>0</v>
      </c>
      <c r="H98" s="246">
        <v>0</v>
      </c>
      <c r="I98" s="283">
        <f>SUM(B98:H98)</f>
        <v>498031.1999999999</v>
      </c>
      <c r="J98" s="244"/>
    </row>
    <row r="99" spans="1:12" ht="15.75">
      <c r="A99" s="241" t="s">
        <v>265</v>
      </c>
      <c r="B99" s="242"/>
      <c r="C99" s="243"/>
      <c r="D99" s="243"/>
      <c r="E99" s="243"/>
      <c r="F99" s="243"/>
      <c r="G99" s="243"/>
      <c r="H99" s="243"/>
      <c r="I99" s="247"/>
      <c r="J99" s="244"/>
      <c r="K99" s="259">
        <f>SUM(I95:I99)</f>
        <v>21977785.68</v>
      </c>
      <c r="L99" s="245"/>
    </row>
    <row r="100" spans="1:11" ht="15.75">
      <c r="A100" s="251"/>
      <c r="B100" s="242"/>
      <c r="C100" s="243"/>
      <c r="D100" s="243"/>
      <c r="E100" s="243"/>
      <c r="F100" s="243"/>
      <c r="G100" s="243"/>
      <c r="H100" s="243"/>
      <c r="I100" s="242"/>
      <c r="J100" s="244"/>
      <c r="K100" s="260"/>
    </row>
    <row r="101" spans="1:12" ht="15.75">
      <c r="A101" s="241" t="s">
        <v>254</v>
      </c>
      <c r="B101" s="242">
        <f>+I74</f>
        <v>1636819.2499999995</v>
      </c>
      <c r="C101" s="243">
        <v>0</v>
      </c>
      <c r="D101" s="243">
        <v>0</v>
      </c>
      <c r="E101" s="243">
        <v>0</v>
      </c>
      <c r="F101" s="243">
        <v>0</v>
      </c>
      <c r="G101" s="243">
        <v>0</v>
      </c>
      <c r="H101" s="243">
        <v>0</v>
      </c>
      <c r="I101" s="261">
        <f>SUM(B101:H101)</f>
        <v>1636819.2499999995</v>
      </c>
      <c r="J101" s="272"/>
      <c r="K101" s="261">
        <f>+I101</f>
        <v>1636819.2499999995</v>
      </c>
      <c r="L101" s="249"/>
    </row>
    <row r="102" spans="1:12" ht="15.75">
      <c r="A102" s="241" t="s">
        <v>273</v>
      </c>
      <c r="B102" s="242"/>
      <c r="C102" s="243"/>
      <c r="D102" s="243"/>
      <c r="E102" s="243"/>
      <c r="F102" s="243"/>
      <c r="G102" s="243"/>
      <c r="H102" s="243"/>
      <c r="I102" s="247"/>
      <c r="J102" s="284"/>
      <c r="K102" s="263"/>
      <c r="L102" s="264" t="s">
        <v>251</v>
      </c>
    </row>
    <row r="103" spans="1:13" ht="15.75">
      <c r="A103" s="251"/>
      <c r="B103" s="242"/>
      <c r="C103" s="243"/>
      <c r="D103" s="243"/>
      <c r="E103" s="243"/>
      <c r="F103" s="243"/>
      <c r="G103" s="243"/>
      <c r="H103" s="243"/>
      <c r="I103" s="271"/>
      <c r="J103" s="272"/>
      <c r="K103" s="263"/>
      <c r="L103" s="249">
        <f>+K99+K101+K104</f>
        <v>24687635.17</v>
      </c>
      <c r="M103" s="220" t="s">
        <v>211</v>
      </c>
    </row>
    <row r="104" spans="1:12" ht="15.75">
      <c r="A104" s="251" t="s">
        <v>14</v>
      </c>
      <c r="B104" s="242">
        <f>+I77</f>
        <v>1073030.2400000002</v>
      </c>
      <c r="C104" s="243">
        <v>0</v>
      </c>
      <c r="D104" s="243">
        <v>0</v>
      </c>
      <c r="E104" s="243">
        <v>0</v>
      </c>
      <c r="F104" s="243">
        <v>0</v>
      </c>
      <c r="G104" s="243">
        <v>0</v>
      </c>
      <c r="H104" s="243">
        <v>0</v>
      </c>
      <c r="I104" s="267">
        <f>SUM(B104:H104)</f>
        <v>1073030.2400000002</v>
      </c>
      <c r="J104" s="272"/>
      <c r="K104" s="268">
        <f>+I104</f>
        <v>1073030.2400000002</v>
      </c>
      <c r="L104" s="249"/>
    </row>
    <row r="105" spans="1:11" ht="15.75">
      <c r="A105" s="249" t="s">
        <v>262</v>
      </c>
      <c r="B105" s="242"/>
      <c r="C105" s="243"/>
      <c r="D105" s="243"/>
      <c r="E105" s="243"/>
      <c r="F105" s="243"/>
      <c r="G105" s="243"/>
      <c r="H105" s="243"/>
      <c r="I105" s="247"/>
      <c r="J105" s="272"/>
      <c r="K105" s="265"/>
    </row>
    <row r="106" spans="1:11" ht="15.75">
      <c r="A106" s="249"/>
      <c r="B106" s="242"/>
      <c r="C106" s="243"/>
      <c r="D106" s="243"/>
      <c r="E106" s="243"/>
      <c r="F106" s="243"/>
      <c r="G106" s="243"/>
      <c r="H106" s="243"/>
      <c r="I106" s="247"/>
      <c r="J106" s="272"/>
      <c r="K106" s="265"/>
    </row>
    <row r="107" spans="1:13" ht="15.75">
      <c r="A107" s="249" t="s">
        <v>258</v>
      </c>
      <c r="B107" s="242">
        <f>+I80</f>
        <v>769407.5</v>
      </c>
      <c r="C107" s="243">
        <v>0</v>
      </c>
      <c r="D107" s="243">
        <v>0</v>
      </c>
      <c r="E107" s="243">
        <v>0</v>
      </c>
      <c r="F107" s="243">
        <v>0</v>
      </c>
      <c r="G107" s="243">
        <v>0</v>
      </c>
      <c r="H107" s="243">
        <v>0</v>
      </c>
      <c r="I107" s="247">
        <f>SUM(B107:H107)</f>
        <v>769407.5</v>
      </c>
      <c r="J107" s="272"/>
      <c r="K107" s="265">
        <f>+I107</f>
        <v>769407.5</v>
      </c>
      <c r="L107" s="280">
        <f>+K107</f>
        <v>769407.5</v>
      </c>
      <c r="M107" s="220" t="s">
        <v>260</v>
      </c>
    </row>
    <row r="108" spans="1:11" ht="15.75">
      <c r="A108" s="249" t="s">
        <v>261</v>
      </c>
      <c r="B108" s="242"/>
      <c r="C108" s="243"/>
      <c r="D108" s="243"/>
      <c r="E108" s="243"/>
      <c r="F108" s="243"/>
      <c r="G108" s="243"/>
      <c r="H108" s="243"/>
      <c r="I108" s="247"/>
      <c r="J108" s="272"/>
      <c r="K108" s="265"/>
    </row>
    <row r="109" spans="1:12" ht="15.75">
      <c r="A109" s="251"/>
      <c r="B109" s="242"/>
      <c r="C109" s="243"/>
      <c r="D109" s="243"/>
      <c r="E109" s="243"/>
      <c r="F109" s="243"/>
      <c r="G109" s="243"/>
      <c r="H109" s="243"/>
      <c r="I109" s="271"/>
      <c r="J109" s="272"/>
      <c r="K109" s="265"/>
      <c r="L109" s="249"/>
    </row>
    <row r="110" spans="1:13" ht="15.75">
      <c r="A110" s="241" t="s">
        <v>272</v>
      </c>
      <c r="B110" s="242">
        <f>+I83</f>
        <v>48525625.59000005</v>
      </c>
      <c r="C110" s="243">
        <v>0</v>
      </c>
      <c r="D110" s="243">
        <v>0</v>
      </c>
      <c r="E110" s="243">
        <v>0</v>
      </c>
      <c r="F110" s="243">
        <v>0</v>
      </c>
      <c r="G110" s="243">
        <v>0</v>
      </c>
      <c r="H110" s="243">
        <v>0</v>
      </c>
      <c r="I110" s="285">
        <f>SUM(B110:H110)</f>
        <v>48525625.59000005</v>
      </c>
      <c r="J110" s="272"/>
      <c r="K110" s="270">
        <f>+I110</f>
        <v>48525625.59000005</v>
      </c>
      <c r="L110" s="249">
        <f>+K110</f>
        <v>48525625.59000005</v>
      </c>
      <c r="M110" s="220" t="s">
        <v>212</v>
      </c>
    </row>
    <row r="111" spans="1:12" ht="15.75">
      <c r="A111" s="250" t="s">
        <v>263</v>
      </c>
      <c r="B111" s="242"/>
      <c r="C111" s="243"/>
      <c r="D111" s="243"/>
      <c r="E111" s="243"/>
      <c r="F111" s="243"/>
      <c r="G111" s="243"/>
      <c r="H111" s="243"/>
      <c r="I111" s="247"/>
      <c r="J111" s="272"/>
      <c r="K111" s="265"/>
      <c r="L111" s="249"/>
    </row>
    <row r="112" spans="1:13" ht="13.5" thickBot="1">
      <c r="A112" s="251"/>
      <c r="B112" s="253">
        <f aca="true" t="shared" si="3" ref="B112:J112">SUM(B95:B111)</f>
        <v>73982668.26000005</v>
      </c>
      <c r="C112" s="275">
        <f t="shared" si="3"/>
        <v>0</v>
      </c>
      <c r="D112" s="275">
        <f t="shared" si="3"/>
        <v>0</v>
      </c>
      <c r="E112" s="275">
        <f t="shared" si="3"/>
        <v>0</v>
      </c>
      <c r="F112" s="275">
        <f t="shared" si="3"/>
        <v>0</v>
      </c>
      <c r="G112" s="275">
        <f t="shared" si="3"/>
        <v>0</v>
      </c>
      <c r="H112" s="275">
        <f t="shared" si="3"/>
        <v>0</v>
      </c>
      <c r="I112" s="276">
        <f t="shared" si="3"/>
        <v>73982668.26000005</v>
      </c>
      <c r="J112" s="277">
        <f t="shared" si="3"/>
        <v>0</v>
      </c>
      <c r="K112" s="245"/>
      <c r="L112" s="245"/>
      <c r="M112" s="245"/>
    </row>
    <row r="113" spans="1:13" ht="13.5" thickTop="1">
      <c r="A113" s="233"/>
      <c r="B113" s="256"/>
      <c r="C113" s="256"/>
      <c r="D113" s="256"/>
      <c r="E113" s="256"/>
      <c r="F113" s="256"/>
      <c r="G113" s="256"/>
      <c r="H113" s="256"/>
      <c r="I113" s="256"/>
      <c r="J113" s="257"/>
      <c r="K113" s="245"/>
      <c r="L113" s="280">
        <f>+L103+L107+L110</f>
        <v>73982668.26000005</v>
      </c>
      <c r="M113" s="245" t="s">
        <v>255</v>
      </c>
    </row>
    <row r="115" ht="12.75">
      <c r="I115" s="245"/>
    </row>
    <row r="116" spans="9:10" ht="12.75">
      <c r="I116" s="280">
        <f>+I55-I110</f>
        <v>97975991.07999994</v>
      </c>
      <c r="J116" s="250" t="s">
        <v>256</v>
      </c>
    </row>
    <row r="117" ht="12.75">
      <c r="J117" s="250" t="s">
        <v>257</v>
      </c>
    </row>
  </sheetData>
  <sheetProtection/>
  <mergeCells count="3">
    <mergeCell ref="A1:J1"/>
    <mergeCell ref="A2:J2"/>
    <mergeCell ref="A4:J4"/>
  </mergeCells>
  <printOptions horizontalCentered="1"/>
  <pageMargins left="0" right="0" top="0" bottom="0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ANGEL CASTRO RODRIGUEZ</dc:creator>
  <cp:keywords/>
  <dc:description/>
  <cp:lastModifiedBy>Miguel Federico Gutiérrez</cp:lastModifiedBy>
  <cp:lastPrinted>2016-05-02T13:54:21Z</cp:lastPrinted>
  <dcterms:created xsi:type="dcterms:W3CDTF">2000-03-31T17:05:02Z</dcterms:created>
  <dcterms:modified xsi:type="dcterms:W3CDTF">2018-09-13T16:27:55Z</dcterms:modified>
  <cp:category/>
  <cp:version/>
  <cp:contentType/>
  <cp:contentStatus/>
</cp:coreProperties>
</file>