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60" windowWidth="10380" windowHeight="2145" tabRatio="680" activeTab="0"/>
  </bookViews>
  <sheets>
    <sheet name="ESTADO DE RESULTADOS" sheetId="1" r:id="rId1"/>
    <sheet name="PRESUPACUM" sheetId="2" state="hidden" r:id="rId2"/>
    <sheet name="PREEJERACUM" sheetId="3" state="hidden" r:id="rId3"/>
  </sheets>
  <externalReferences>
    <externalReference r:id="rId6"/>
    <externalReference r:id="rId7"/>
    <externalReference r:id="rId8"/>
  </externalReferences>
  <definedNames>
    <definedName name="_xlnm.Print_Area" localSheetId="0">'ESTADO DE RESULTADOS'!$A$1:$G$141</definedName>
    <definedName name="_xlnm.Print_Area" localSheetId="1">'PRESUPACUM'!$B$1:$AD$199</definedName>
    <definedName name="_xlnm.Print_Titles" localSheetId="2">'PREEJERACUM'!$3:$10</definedName>
    <definedName name="_xlnm.Print_Titles" localSheetId="1">'PRESUPACUM'!$B:$C,'PRESUPACUM'!$3:$10</definedName>
  </definedNames>
  <calcPr fullCalcOnLoad="1"/>
</workbook>
</file>

<file path=xl/sharedStrings.xml><?xml version="1.0" encoding="utf-8"?>
<sst xmlns="http://schemas.openxmlformats.org/spreadsheetml/2006/main" count="584" uniqueCount="249">
  <si>
    <t>TOTAL PRESUPUESTO EJERCIDO DE GASTO CORRIENTE</t>
  </si>
  <si>
    <t>PRESUPUESTO EJERCIDO DE GASTO DE INVERSIÓN</t>
  </si>
  <si>
    <t xml:space="preserve">Impuesto sobre nóminas                           </t>
  </si>
  <si>
    <t>ELABORÓ</t>
  </si>
  <si>
    <t>ASIGNACIÓN</t>
  </si>
  <si>
    <t>Servicio de telefonía celular</t>
  </si>
  <si>
    <t xml:space="preserve">Utensilios para el servicio de alimentación                       </t>
  </si>
  <si>
    <t>Materiales accesorios y sum. de laboratorios</t>
  </si>
  <si>
    <t xml:space="preserve">               REMUNERACIONES AL PERSONAL DE CARÁCTER PERMANENTE</t>
  </si>
  <si>
    <t xml:space="preserve">                ALIMENTOS Y UTENSILIOS</t>
  </si>
  <si>
    <t xml:space="preserve">                COMBUSTIBLES, LUBRICANTES Y ADITIVOS</t>
  </si>
  <si>
    <t xml:space="preserve">                SERVICIOS BÁSICOS</t>
  </si>
  <si>
    <t xml:space="preserve">Remun. adicionales y especiales                    </t>
  </si>
  <si>
    <t xml:space="preserve">Vest, blancos, prendas prot. y art. dep.                      </t>
  </si>
  <si>
    <t xml:space="preserve">Comb. lubricantes y aditivos                      </t>
  </si>
  <si>
    <t>REVISÓ</t>
  </si>
  <si>
    <t xml:space="preserve">               PAGOS POR OTRAS PRESTACIONES SOCIALES Y ECONÓMICAS</t>
  </si>
  <si>
    <t>TOTAL PRESUPUESTO EJERCIDO DE GTO. CTE. Y GTO. INV.</t>
  </si>
  <si>
    <t>Ingresos por sanciones en licitaciones</t>
  </si>
  <si>
    <t>Ingresos  por venta de bases para licitación</t>
  </si>
  <si>
    <t>Asignación gasto corriente</t>
  </si>
  <si>
    <t>Asignación gasto de inversión</t>
  </si>
  <si>
    <t>JEFE DEPARTAMENTO DE CONTABILIDAD</t>
  </si>
  <si>
    <t>Otros arrendamientos</t>
  </si>
  <si>
    <t xml:space="preserve">                VESTUARIO, BLANCOS PRENDAS DE PROTECCIÓN Y ARTS. DEP.</t>
  </si>
  <si>
    <t xml:space="preserve">                             PRESUPUESTO POR EJERCER DE GASTO CORRIENTE</t>
  </si>
  <si>
    <t xml:space="preserve">                             PRESUPUESTO POR EJERCER DE GASTO DE INVERSIÓN</t>
  </si>
  <si>
    <t xml:space="preserve"> </t>
  </si>
  <si>
    <t>PRESUPUESTO AUTORIZADO</t>
  </si>
  <si>
    <t>ACUMULADO</t>
  </si>
  <si>
    <t>%</t>
  </si>
  <si>
    <t>SERVICIOS PERSONALES</t>
  </si>
  <si>
    <t xml:space="preserve">               REMUNERACIONES AL PERSONAL DE CARÁCTER TRANSITORIO</t>
  </si>
  <si>
    <t xml:space="preserve">               REMUNERACIONES ADICIONALES Y ESPECIALES</t>
  </si>
  <si>
    <t xml:space="preserve">               PAGOS POR CONCEPTO DE SEGURIDAD SOCIAL</t>
  </si>
  <si>
    <t xml:space="preserve">TOTAL </t>
  </si>
  <si>
    <t>MATERIALES Y SUMINISTROS</t>
  </si>
  <si>
    <t xml:space="preserve">               </t>
  </si>
  <si>
    <t>SERVICIOS GENERALES</t>
  </si>
  <si>
    <t xml:space="preserve">                SERVICIOS OFICIALES</t>
  </si>
  <si>
    <t>L.C. TOMÁS JUAN GODINEZ TORRES</t>
  </si>
  <si>
    <t xml:space="preserve">Materiales de limpieza                           </t>
  </si>
  <si>
    <t>Alimentos y utensilios</t>
  </si>
  <si>
    <t xml:space="preserve">                 TOTAL EJERCIDO DE GASTO DE INVERSIÓN</t>
  </si>
  <si>
    <t>Medicinas y productos farmacéuticos</t>
  </si>
  <si>
    <t>Materiales accesorios y suministros médicos</t>
  </si>
  <si>
    <t>Servicios Básicos</t>
  </si>
  <si>
    <t xml:space="preserve">Servicios oficiales                               </t>
  </si>
  <si>
    <t xml:space="preserve">ASIGNACIÓN </t>
  </si>
  <si>
    <t>PRESUPUESTO</t>
  </si>
  <si>
    <t>PTA.</t>
  </si>
  <si>
    <t xml:space="preserve">Gratificación de fin de año                               </t>
  </si>
  <si>
    <t>TOTAL POR EJERCER DE GASTO CORRIENTE</t>
  </si>
  <si>
    <t xml:space="preserve">Mat. y útiles de imp. y reproducción                      </t>
  </si>
  <si>
    <t>MARZO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</si>
  <si>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</si>
  <si>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</si>
  <si>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</si>
  <si>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</si>
  <si>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</si>
  <si>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</si>
  <si>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</si>
  <si>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</si>
  <si>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</si>
  <si>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</si>
  <si>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</si>
  <si>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DEL PRESUPUESTO</t>
  </si>
  <si>
    <t>TRIBUNAL ELECTORAL DEL DISTRITO FEDERAL</t>
  </si>
  <si>
    <t>SECRETARIA ADMINISTRATIVA</t>
  </si>
  <si>
    <t>ANUAL</t>
  </si>
  <si>
    <t>POR    EJERCER</t>
  </si>
  <si>
    <t xml:space="preserve">          </t>
  </si>
  <si>
    <t>PRESUPUESTO ANUAL AUTORIZADO</t>
  </si>
  <si>
    <t>C  O  N  C  E  P  T  O</t>
  </si>
  <si>
    <t xml:space="preserve"> ENERO</t>
  </si>
  <si>
    <t xml:space="preserve"> FEBRERO</t>
  </si>
  <si>
    <t xml:space="preserve"> MARZO</t>
  </si>
  <si>
    <t>EJERCIDO</t>
  </si>
  <si>
    <t>Fletes y maniobras</t>
  </si>
  <si>
    <t>AUTORIZÓ</t>
  </si>
  <si>
    <t>ANUAL MODIF.</t>
  </si>
  <si>
    <t xml:space="preserve">            </t>
  </si>
  <si>
    <t>TOTAL POR EJERCER DEL PRESUPUESTO ANUAL</t>
  </si>
  <si>
    <t>BIENES MUEBLES</t>
  </si>
  <si>
    <t>TOTAL INGRESOS DE GESTIÓN</t>
  </si>
  <si>
    <t>OTROS INGRESOS Y BENEFICIOS</t>
  </si>
  <si>
    <t>Ingresos Financieros</t>
  </si>
  <si>
    <t>Otros Ingresos y Beneficios Varios</t>
  </si>
  <si>
    <t>GASTOS DE FUNCIONAMIENTO</t>
  </si>
  <si>
    <t>Otros ingresos y beneficios varios</t>
  </si>
  <si>
    <t>Sueldos base al personal permanente</t>
  </si>
  <si>
    <t>Prima quinquenal por años de servicios efectivos prestados</t>
  </si>
  <si>
    <t xml:space="preserve">Prima vacaciones </t>
  </si>
  <si>
    <t>Aportaciones a instituciones de seguridad social</t>
  </si>
  <si>
    <t>Aportaciones a fondos de vivienda</t>
  </si>
  <si>
    <t>Aport. al sist. p/el ret. o admin. de fondos p/el ret. y ahorro solid.</t>
  </si>
  <si>
    <t>Primas por seguro de vida del personal civil</t>
  </si>
  <si>
    <t>Cuotas para el fondo de ahorro y fondo de trabajo</t>
  </si>
  <si>
    <t>Asig. p/req. de cargos de serv. pub. de nivel técnico operativo</t>
  </si>
  <si>
    <t>Asig. p/req. cargos de serv. pub. sup.y m. med. lid. coord y enl.</t>
  </si>
  <si>
    <t xml:space="preserve">Materiales, útiles y equipos menores de oficina                      </t>
  </si>
  <si>
    <t>Liq. Por Indemnizaciones y por suedos y salarios caídos</t>
  </si>
  <si>
    <t>Vales</t>
  </si>
  <si>
    <t xml:space="preserve">Mat. útiles, y eq. menores de tec. de la info. y comunicaciones </t>
  </si>
  <si>
    <t>Mats. Útiles de enseñanza</t>
  </si>
  <si>
    <t>Material impreso e información digital</t>
  </si>
  <si>
    <t>Productos alimenticios y bebidas para personas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</si>
  <si>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</si>
  <si>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</si>
  <si>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</si>
  <si>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</si>
  <si>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</si>
  <si>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</si>
  <si>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</si>
  <si>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</si>
  <si>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productos de construccióm y reparación</t>
  </si>
  <si>
    <t xml:space="preserve">Combustibles, lubricantes y aditivos               </t>
  </si>
  <si>
    <t xml:space="preserve">Vestuarios y uniformes </t>
  </si>
  <si>
    <t>Prendas de seguridad y protección personal</t>
  </si>
  <si>
    <t>Refacc. Y accs. Menores eq. Comp. Y tec. Info.</t>
  </si>
  <si>
    <t>Herramientas menores</t>
  </si>
  <si>
    <t>Refacciones, y accesorios menores de edificio</t>
  </si>
  <si>
    <t>Ref., accs., men. Mob. Y eq. Admon., educ. y recreativo</t>
  </si>
  <si>
    <t>Telefonía tradicional</t>
  </si>
  <si>
    <t xml:space="preserve">Energia eléctrica                       </t>
  </si>
  <si>
    <t>Agua potable</t>
  </si>
  <si>
    <t>Serv. De telecomunicaciones y satélite</t>
  </si>
  <si>
    <t xml:space="preserve">Servicios postales y telegráficos                                  </t>
  </si>
  <si>
    <t>Servicios de acceso a internet, redes y procesamiento de info.</t>
  </si>
  <si>
    <t>Servicios legales, de contabilidad, auditoria y relacionados</t>
  </si>
  <si>
    <t>Serv. de consultoria adma. proc., técnica y en tec. de la info.</t>
  </si>
  <si>
    <t>Servicios de capacitación</t>
  </si>
  <si>
    <t>Servicios de investigación científica y desarrollo</t>
  </si>
  <si>
    <t>Serv. De apoyo admo., traduc., fotocopiado e impresión</t>
  </si>
  <si>
    <t>Servicios de vigilancia</t>
  </si>
  <si>
    <t>Serv. Profesionales, científicos y técnicos integrales</t>
  </si>
  <si>
    <t>Seguro de bienes patrimoniales</t>
  </si>
  <si>
    <t>Servicios financieros, bancarios y comerciales integrales</t>
  </si>
  <si>
    <t xml:space="preserve">Servicios de arrendamiento </t>
  </si>
  <si>
    <t>Servicios de instalación, reparación mto. y conservación</t>
  </si>
  <si>
    <t xml:space="preserve">Conservación y mantenimiento menor de inmuebles                         </t>
  </si>
  <si>
    <t>Inst., rep. y mto. de mob. y eq. de admon., educ. y recreativo</t>
  </si>
  <si>
    <t>Inst., rep. y mto. de eq. de cómputo y tec. de la info.</t>
  </si>
  <si>
    <t>Servicios de limpieza y manejo de desechos</t>
  </si>
  <si>
    <t>Servicios de jardineria y fumigación</t>
  </si>
  <si>
    <t>Serv. de comunicación social y publicidad</t>
  </si>
  <si>
    <t>Serv. de traslado y viáticos</t>
  </si>
  <si>
    <t>Pasajes aereos</t>
  </si>
  <si>
    <t>Pasajes terrestres</t>
  </si>
  <si>
    <t>Viáticos en el país</t>
  </si>
  <si>
    <t>Otros servicios de traslado y hospedaje</t>
  </si>
  <si>
    <t>Viáticos en el extranjero</t>
  </si>
  <si>
    <t>Gastos de orden social y cultural</t>
  </si>
  <si>
    <t>Congresos y convenciones</t>
  </si>
  <si>
    <t>Otros servicios generales</t>
  </si>
  <si>
    <t>Impuestos y derechos</t>
  </si>
  <si>
    <t>BIENES MUEBLES,  INMUEBLES E INTANGIBLES</t>
  </si>
  <si>
    <t>BIENES INMUEBLES, INFRAESTRUCTURA Y CONST. EN PROC.</t>
  </si>
  <si>
    <t>Edificios no habitacionales</t>
  </si>
  <si>
    <t>Otros bienes inmuebles</t>
  </si>
  <si>
    <t>Activos intangibles</t>
  </si>
  <si>
    <t>Software</t>
  </si>
  <si>
    <t>Patentes</t>
  </si>
  <si>
    <t>Marcas</t>
  </si>
  <si>
    <t>Derechos</t>
  </si>
  <si>
    <t>Otros activos intangibles</t>
  </si>
  <si>
    <t xml:space="preserve">                OTROS SERVICIOS GENERALES</t>
  </si>
  <si>
    <t>PRESUPUESTO AUTORIZADO DE GASTO CORRIENTE</t>
  </si>
  <si>
    <t>PRESUPUESTO AUTORIZADO GASTO DE INVERSIÓN</t>
  </si>
  <si>
    <t>Remun. al personal de carácter permanente</t>
  </si>
  <si>
    <t>Remun. Al personal de carácter transitorio</t>
  </si>
  <si>
    <t xml:space="preserve">Seguridad social                      </t>
  </si>
  <si>
    <t>Otras prestaciones sociales y económicas</t>
  </si>
  <si>
    <t>Mats. de admon emisión doc. y arts. Ofic.</t>
  </si>
  <si>
    <t xml:space="preserve">Mats y arts. de const. y de reparación                          </t>
  </si>
  <si>
    <t>Prod químicos, farmacéuticos y de lab.</t>
  </si>
  <si>
    <t>Herram, refacciones y acces. menores</t>
  </si>
  <si>
    <t>Servicios prof., científicos, téc. y o. serv.</t>
  </si>
  <si>
    <t xml:space="preserve">Serv. financieros, bancarios y comerciales                      </t>
  </si>
  <si>
    <t>Arr. de mob. y eq. de admon, educ. y recreativo</t>
  </si>
  <si>
    <t>Seguro de resp. Patrimonial y fianzas</t>
  </si>
  <si>
    <t>Rep. y mto. de eq. Transporte dest. a serv. pub. y serv. admos.</t>
  </si>
  <si>
    <t>Pasajes terrestres al interior del D.F.</t>
  </si>
  <si>
    <t>Muebles de oficina y estantería</t>
  </si>
  <si>
    <t>Otros mobiliarios y eq. de admon.</t>
  </si>
  <si>
    <t>Sist. aire acond. calef, y de ref. ind. y comercial</t>
  </si>
  <si>
    <t>Licencias informáticas e intelectuales</t>
  </si>
  <si>
    <t>PRESUPUESTO TOTAL</t>
  </si>
  <si>
    <t>Servicios financieros y bancarios</t>
  </si>
  <si>
    <t>Exposiciones</t>
  </si>
  <si>
    <t>Honorarios asimilables a salarios</t>
  </si>
  <si>
    <t>Fertilizantes, pesticidas y otros agroquimicos</t>
  </si>
  <si>
    <t>Intal. rep. y mto maq, otros equipos y herramienta</t>
  </si>
  <si>
    <t>Productos quimicos básicos</t>
  </si>
  <si>
    <t>Fibras sintéticas, hules, plásticos y derivados</t>
  </si>
  <si>
    <t>Ref. y acc. Men. Otros bienes muebles</t>
  </si>
  <si>
    <t>ojo: el monto ejercido se mostrará en cédula preejeracum</t>
  </si>
  <si>
    <t xml:space="preserve">          ACTIVOS INTANGIBLES</t>
  </si>
  <si>
    <t xml:space="preserve">               IMPUESTO SOBRE NÓMINAS O QUE DERIVEN DE UNA REL. LABORAL</t>
  </si>
  <si>
    <t xml:space="preserve">                MATERIALES DE ADMON, EMISIÓN DOC. Y ARTS. OFICIALES</t>
  </si>
  <si>
    <t xml:space="preserve">                MATERIALES Y ARTÍCULOS DE CONSTRUCCIÓN Y REPARACIÓN</t>
  </si>
  <si>
    <t xml:space="preserve">                PROD. QUIMICOS, FARMACÉUTICOS Y DE LABORATORIO</t>
  </si>
  <si>
    <t xml:space="preserve">                HERRAMIENTAS, REFACCIONES Y ACCESORIOS MENORES</t>
  </si>
  <si>
    <t xml:space="preserve">                SERVICIOS DE ARRENDAMIENTO </t>
  </si>
  <si>
    <t xml:space="preserve">                SERVICIOS PROF. CIENTIFICOS, TÉCNICOS Y OTROS SERVICIOS</t>
  </si>
  <si>
    <t xml:space="preserve">                SERVICIOS FINANCIEROS, BANCARIOS Y COMERCIALES</t>
  </si>
  <si>
    <t xml:space="preserve">                SERVICIOS DE INSTAL. REP. MTO. Y CONSERVACIÓN</t>
  </si>
  <si>
    <t xml:space="preserve">                SERVICIOS DE COMUNICACIÓN SOCIAL Y PUBLICIDAD</t>
  </si>
  <si>
    <t xml:space="preserve">                SERVICIOS DE TRASLADO Y VIÁTICOS</t>
  </si>
  <si>
    <t>Serv de creación y dif. cont. excl. A través de internet</t>
  </si>
  <si>
    <t>Equipo de cómputo y de tecnologías de la información</t>
  </si>
  <si>
    <t>Automoviles y camiones dest. a serv. pub. y serv. Admos.</t>
  </si>
  <si>
    <t>Equipo de comunicación y telecomunicación</t>
  </si>
  <si>
    <t>Serv. de telecomunicaciones y satélite</t>
  </si>
  <si>
    <t>y son responsabilidad del emisor.</t>
  </si>
  <si>
    <t xml:space="preserve">Bajo protesta de decir verdad, declaramos que los Estados Financieros y sus notas, son razonablemente correctos </t>
  </si>
  <si>
    <t>Otras aportaciones para seguros</t>
  </si>
  <si>
    <t>Otros equipos</t>
  </si>
  <si>
    <t xml:space="preserve">          BIENES MUEBLES</t>
  </si>
  <si>
    <t>Dif radio tv y/o med mens s/prog y activ gub</t>
  </si>
  <si>
    <t>Equipos y aparatos audiovisuales</t>
  </si>
  <si>
    <t>Serv fun. y de cem. a los fam de los civ. y pensionistas directos</t>
  </si>
  <si>
    <t>C.P. LAURA ELENA GALVÁN FRANCO</t>
  </si>
  <si>
    <t>SUBDIRECTORA DE CONTABILIDAD</t>
  </si>
  <si>
    <t>Servicios de impresión.</t>
  </si>
  <si>
    <t>Apoyo económico por defunción de familiares directos</t>
  </si>
  <si>
    <t>DIRECTOR DE PLANEACIÓN Y</t>
  </si>
  <si>
    <t>Cámaras fotográficas y de video</t>
  </si>
  <si>
    <t>Arrendamiento de activos intangibles.</t>
  </si>
  <si>
    <t>Sentencias y resoluciones por autoridad competente.</t>
  </si>
  <si>
    <t>*</t>
  </si>
  <si>
    <t xml:space="preserve"> RECURSOS FINANCIEROS</t>
  </si>
  <si>
    <t>Productos textiles</t>
  </si>
  <si>
    <t>Maquinaria y equipo industrial</t>
  </si>
  <si>
    <t>C.P. FRANCISCO HERNÁNDEZ GONZÁLEZ</t>
  </si>
  <si>
    <t>ANALITICO DEL EJERCICIO PRESUPUESTAL ACUMULADO POR MES DE ENERO A DICIEMBRE DE 2016</t>
  </si>
  <si>
    <t>ANALITICO DEL EJERCICIO PRESUPUESTAL EJERCIDO POR MES Y ACUMULADO DE ENERO A DICIEMBRE DE 2016</t>
  </si>
  <si>
    <t xml:space="preserve"> Muebles, excepto de oficina y estantería. </t>
  </si>
  <si>
    <t xml:space="preserve">          B. INMUEBLES, INFRAESTRUCTURA Y CONSTRUCCIONES EN PROCESO</t>
  </si>
  <si>
    <t>Servicio de Diseño, Arq., Ing., y Actividades relacionadas</t>
  </si>
  <si>
    <t>Refacc. Y accs. Menores eq. de transporte</t>
  </si>
  <si>
    <t>Arr. de eq. transporte dest. a Serv. Pub. y serv. admos</t>
  </si>
  <si>
    <t>Espectáculos Culturales</t>
  </si>
  <si>
    <t>Blancos y otros productos textiles, excepto prendas de vestir</t>
  </si>
  <si>
    <t>Serv. de creat. preprod. y prod. de pub. excepto internet</t>
  </si>
  <si>
    <t>ESTADO DE RESULTADOS DEL 1° DE ENERO AL 31 DE DICIEMBRE DE 2016</t>
  </si>
  <si>
    <t xml:space="preserve">Compensaciones </t>
  </si>
  <si>
    <t>Equipo de generación eléctrica, aptos y acc. Elec.</t>
  </si>
  <si>
    <t xml:space="preserve">  Y CONTROL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</si>
</sst>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0.0"/>
    <numFmt numFmtId="180" formatCode="#,##0.0;[Red]#,##0.0"/>
    <numFmt numFmtId="181" formatCode="0.00;[Red]0.00"/>
    <numFmt numFmtId="182" formatCode="0.000000000"/>
    <numFmt numFmtId="183" formatCode="#,##0.0"/>
    <numFmt numFmtId="184" formatCode="#,##0.00000000000"/>
    <numFmt numFmtId="185" formatCode="#,##0.00_ ;\-#,##0.00\ "/>
    <numFmt numFmtId="186" formatCode="&quot;$&quot;#,##0.00"/>
    <numFmt numFmtId="187" formatCode="00000"/>
    <numFmt numFmtId="188" formatCode="#,##0.000000000000"/>
    <numFmt numFmtId="189" formatCode="#,##0.0000000000"/>
    <numFmt numFmtId="190" formatCode="#,##0.000000000"/>
    <numFmt numFmtId="191" formatCode="#,##0.00000000"/>
    <numFmt numFmtId="192" formatCode="#,##0.0000000"/>
    <numFmt numFmtId="193" formatCode="#,##0.000000"/>
    <numFmt numFmtId="194" formatCode="#,##0.00000"/>
    <numFmt numFmtId="195" formatCode="#,##0.0000"/>
    <numFmt numFmtId="196" formatCode="#,##0.000"/>
    <numFmt numFmtId="197" formatCode="#,##0.00_ ;[Red]\-#,##0.00\ "/>
    <numFmt numFmtId="198" formatCode="[$-80A]dddd\,\ dd&quot; de &quot;mmmm&quot; de &quot;yyyy"/>
    <numFmt numFmtId="199" formatCode="[$-80A]d&quot; de &quot;mmmm&quot; de &quot;yyyy;@"/>
    <numFmt numFmtId="200" formatCode="[$-80A]dddd\,\ dd&quot; de &quot;mmmm&quot; de &quot;yyyy;@"/>
    <numFmt numFmtId="201" formatCode="yyyy\-mm\-dd;@"/>
    <numFmt numFmtId="202" formatCode="d/mm/yy;@"/>
    <numFmt numFmtId="203" formatCode="0;[Red]0"/>
    <numFmt numFmtId="204" formatCode="0.00_ ;[Red]\-0.00\ "/>
    <numFmt numFmtId="205" formatCode="#,##0.0000000000_ ;[Red]\-#,##0.0000000000\ "/>
    <numFmt numFmtId="206" formatCode="0_ ;[Red]\-0\ "/>
    <numFmt numFmtId="207" formatCode="#,##0.000000000;[Red]#,##0.000000000"/>
    <numFmt numFmtId="208" formatCode="#,##0.00000000000000"/>
    <numFmt numFmtId="209" formatCode="#,##0.0000000000000;[Red]#,##0.0000000000000"/>
    <numFmt numFmtId="210" formatCode="#,##0.00;[Red]\(#,##0.00\)"/>
    <numFmt numFmtId="211" formatCode="#,##0.00;[Black]\(#,##0.00\)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2.7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/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double"/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2" tint="-0.4999699890613556"/>
      </right>
      <top style="thin">
        <color indexed="23"/>
      </top>
      <bottom style="thin"/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indexed="23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7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54" applyFont="1">
      <alignment/>
      <protection/>
    </xf>
    <xf numFmtId="4" fontId="14" fillId="0" borderId="0" xfId="0" applyNumberFormat="1" applyFont="1" applyAlignment="1">
      <alignment/>
    </xf>
    <xf numFmtId="0" fontId="5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54" applyFont="1" applyFill="1">
      <alignment/>
      <protection/>
    </xf>
    <xf numFmtId="0" fontId="14" fillId="0" borderId="0" xfId="0" applyFont="1" applyFill="1" applyAlignment="1">
      <alignment/>
    </xf>
    <xf numFmtId="0" fontId="5" fillId="0" borderId="0" xfId="54" applyFont="1" applyBorder="1">
      <alignment/>
      <protection/>
    </xf>
    <xf numFmtId="0" fontId="14" fillId="0" borderId="0" xfId="54" applyFont="1" applyBorder="1">
      <alignment/>
      <protection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197" fontId="14" fillId="33" borderId="0" xfId="0" applyNumberFormat="1" applyFont="1" applyFill="1" applyAlignment="1">
      <alignment/>
    </xf>
    <xf numFmtId="0" fontId="14" fillId="33" borderId="0" xfId="54" applyFont="1" applyFill="1">
      <alignment/>
      <protection/>
    </xf>
    <xf numFmtId="4" fontId="1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54" applyFont="1" applyAlignment="1">
      <alignment horizontal="center"/>
      <protection/>
    </xf>
    <xf numFmtId="197" fontId="14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97" fontId="14" fillId="0" borderId="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97" fontId="5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/>
    </xf>
    <xf numFmtId="0" fontId="14" fillId="0" borderId="10" xfId="54" applyFont="1" applyBorder="1">
      <alignment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14" fillId="34" borderId="0" xfId="54" applyFont="1" applyFill="1">
      <alignment/>
      <protection/>
    </xf>
    <xf numFmtId="0" fontId="14" fillId="34" borderId="0" xfId="54" applyFont="1" applyFill="1" applyBorder="1">
      <alignment/>
      <protection/>
    </xf>
    <xf numFmtId="4" fontId="5" fillId="34" borderId="0" xfId="0" applyNumberFormat="1" applyFont="1" applyFill="1" applyAlignment="1">
      <alignment/>
    </xf>
    <xf numFmtId="197" fontId="5" fillId="0" borderId="0" xfId="0" applyNumberFormat="1" applyFont="1" applyAlignment="1">
      <alignment/>
    </xf>
    <xf numFmtId="0" fontId="14" fillId="35" borderId="0" xfId="54" applyFont="1" applyFill="1">
      <alignment/>
      <protection/>
    </xf>
    <xf numFmtId="4" fontId="5" fillId="35" borderId="0" xfId="0" applyNumberFormat="1" applyFont="1" applyFill="1" applyAlignment="1">
      <alignment/>
    </xf>
    <xf numFmtId="0" fontId="5" fillId="0" borderId="0" xfId="54" applyFont="1">
      <alignment/>
      <protection/>
    </xf>
    <xf numFmtId="0" fontId="5" fillId="0" borderId="11" xfId="54" applyFont="1" applyBorder="1">
      <alignment/>
      <protection/>
    </xf>
    <xf numFmtId="4" fontId="5" fillId="0" borderId="11" xfId="0" applyNumberFormat="1" applyFont="1" applyBorder="1" applyAlignment="1">
      <alignment/>
    </xf>
    <xf numFmtId="0" fontId="14" fillId="0" borderId="0" xfId="54" applyNumberFormat="1" applyFont="1" applyAlignment="1">
      <alignment horizontal="right"/>
      <protection/>
    </xf>
    <xf numFmtId="4" fontId="15" fillId="0" borderId="0" xfId="0" applyNumberFormat="1" applyFont="1" applyAlignment="1">
      <alignment/>
    </xf>
    <xf numFmtId="4" fontId="14" fillId="0" borderId="0" xfId="54" applyNumberFormat="1" applyFont="1">
      <alignment/>
      <protection/>
    </xf>
    <xf numFmtId="4" fontId="5" fillId="0" borderId="11" xfId="54" applyNumberFormat="1" applyFont="1" applyBorder="1">
      <alignment/>
      <protection/>
    </xf>
    <xf numFmtId="49" fontId="5" fillId="34" borderId="0" xfId="54" applyNumberFormat="1" applyFont="1" applyFill="1" applyAlignment="1">
      <alignment horizontal="right"/>
      <protection/>
    </xf>
    <xf numFmtId="4" fontId="5" fillId="34" borderId="11" xfId="0" applyNumberFormat="1" applyFont="1" applyFill="1" applyBorder="1" applyAlignment="1">
      <alignment/>
    </xf>
    <xf numFmtId="49" fontId="5" fillId="0" borderId="0" xfId="54" applyNumberFormat="1" applyFont="1" applyAlignment="1">
      <alignment horizontal="right"/>
      <protection/>
    </xf>
    <xf numFmtId="0" fontId="5" fillId="0" borderId="0" xfId="54" applyFont="1" applyBorder="1" applyAlignment="1">
      <alignment horizontal="left"/>
      <protection/>
    </xf>
    <xf numFmtId="197" fontId="5" fillId="0" borderId="0" xfId="0" applyNumberFormat="1" applyFont="1" applyBorder="1" applyAlignment="1">
      <alignment/>
    </xf>
    <xf numFmtId="49" fontId="14" fillId="0" borderId="0" xfId="54" applyNumberFormat="1" applyFont="1" applyAlignment="1">
      <alignment horizontal="right"/>
      <protection/>
    </xf>
    <xf numFmtId="0" fontId="5" fillId="0" borderId="10" xfId="54" applyFont="1" applyBorder="1">
      <alignment/>
      <protection/>
    </xf>
    <xf numFmtId="4" fontId="5" fillId="0" borderId="10" xfId="54" applyNumberFormat="1" applyFont="1" applyBorder="1">
      <alignment/>
      <protection/>
    </xf>
    <xf numFmtId="0" fontId="5" fillId="0" borderId="0" xfId="54" applyNumberFormat="1" applyFont="1" applyAlignment="1">
      <alignment horizontal="right"/>
      <protection/>
    </xf>
    <xf numFmtId="4" fontId="5" fillId="0" borderId="10" xfId="0" applyNumberFormat="1" applyFont="1" applyBorder="1" applyAlignment="1">
      <alignment/>
    </xf>
    <xf numFmtId="197" fontId="5" fillId="0" borderId="10" xfId="0" applyNumberFormat="1" applyFont="1" applyBorder="1" applyAlignment="1">
      <alignment/>
    </xf>
    <xf numFmtId="4" fontId="16" fillId="0" borderId="0" xfId="54" applyNumberFormat="1" applyFont="1" applyBorder="1">
      <alignment/>
      <protection/>
    </xf>
    <xf numFmtId="4" fontId="5" fillId="0" borderId="0" xfId="54" applyNumberFormat="1" applyFont="1" applyBorder="1">
      <alignment/>
      <protection/>
    </xf>
    <xf numFmtId="4" fontId="17" fillId="0" borderId="0" xfId="0" applyNumberFormat="1" applyFont="1" applyBorder="1" applyAlignment="1">
      <alignment/>
    </xf>
    <xf numFmtId="0" fontId="5" fillId="34" borderId="0" xfId="54" applyNumberFormat="1" applyFont="1" applyFill="1" applyAlignment="1">
      <alignment horizontal="right"/>
      <protection/>
    </xf>
    <xf numFmtId="4" fontId="14" fillId="0" borderId="0" xfId="54" applyNumberFormat="1" applyFont="1" applyBorder="1">
      <alignment/>
      <protection/>
    </xf>
    <xf numFmtId="0" fontId="5" fillId="0" borderId="10" xfId="0" applyFont="1" applyBorder="1" applyAlignment="1">
      <alignment/>
    </xf>
    <xf numFmtId="0" fontId="1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54" applyNumberFormat="1" applyFont="1" applyBorder="1" applyAlignment="1">
      <alignment horizontal="right"/>
      <protection/>
    </xf>
    <xf numFmtId="0" fontId="14" fillId="0" borderId="0" xfId="54" applyNumberFormat="1" applyFont="1" applyBorder="1" applyAlignment="1">
      <alignment horizontal="right"/>
      <protection/>
    </xf>
    <xf numFmtId="0" fontId="14" fillId="0" borderId="0" xfId="0" applyFont="1" applyAlignment="1">
      <alignment horizontal="right"/>
    </xf>
    <xf numFmtId="49" fontId="14" fillId="0" borderId="0" xfId="54" applyNumberFormat="1" applyFont="1" applyBorder="1" applyAlignment="1">
      <alignment horizontal="right"/>
      <protection/>
    </xf>
    <xf numFmtId="0" fontId="5" fillId="35" borderId="0" xfId="0" applyFont="1" applyFill="1" applyAlignment="1">
      <alignment/>
    </xf>
    <xf numFmtId="197" fontId="5" fillId="0" borderId="0" xfId="54" applyNumberFormat="1" applyFont="1" applyBorder="1">
      <alignment/>
      <protection/>
    </xf>
    <xf numFmtId="4" fontId="16" fillId="0" borderId="0" xfId="54" applyNumberFormat="1" applyFont="1">
      <alignment/>
      <protection/>
    </xf>
    <xf numFmtId="0" fontId="5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/>
    </xf>
    <xf numFmtId="0" fontId="16" fillId="0" borderId="0" xfId="54" applyFont="1">
      <alignment/>
      <protection/>
    </xf>
    <xf numFmtId="0" fontId="17" fillId="0" borderId="0" xfId="0" applyFont="1" applyAlignment="1">
      <alignment horizontal="centerContinuous"/>
    </xf>
    <xf numFmtId="4" fontId="3" fillId="0" borderId="10" xfId="54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54" applyNumberFormat="1" applyFont="1" applyBorder="1">
      <alignment/>
      <protection/>
    </xf>
    <xf numFmtId="4" fontId="3" fillId="0" borderId="0" xfId="0" applyNumberFormat="1" applyFont="1" applyBorder="1" applyAlignment="1">
      <alignment/>
    </xf>
    <xf numFmtId="197" fontId="16" fillId="0" borderId="0" xfId="0" applyNumberFormat="1" applyFont="1" applyAlignment="1">
      <alignment/>
    </xf>
    <xf numFmtId="4" fontId="3" fillId="35" borderId="11" xfId="0" applyNumberFormat="1" applyFont="1" applyFill="1" applyBorder="1" applyAlignment="1">
      <alignment/>
    </xf>
    <xf numFmtId="0" fontId="14" fillId="36" borderId="0" xfId="0" applyFont="1" applyFill="1" applyAlignment="1">
      <alignment/>
    </xf>
    <xf numFmtId="0" fontId="0" fillId="14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10" fillId="14" borderId="0" xfId="0" applyFont="1" applyFill="1" applyBorder="1" applyAlignment="1">
      <alignment horizontal="centerContinuous" vertical="center"/>
    </xf>
    <xf numFmtId="0" fontId="1" fillId="14" borderId="0" xfId="0" applyFont="1" applyFill="1" applyBorder="1" applyAlignment="1">
      <alignment/>
    </xf>
    <xf numFmtId="0" fontId="10" fillId="14" borderId="0" xfId="0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left"/>
    </xf>
    <xf numFmtId="178" fontId="0" fillId="14" borderId="0" xfId="0" applyNumberFormat="1" applyFont="1" applyFill="1" applyBorder="1" applyAlignment="1">
      <alignment/>
    </xf>
    <xf numFmtId="178" fontId="1" fillId="14" borderId="0" xfId="0" applyNumberFormat="1" applyFont="1" applyFill="1" applyBorder="1" applyAlignment="1">
      <alignment/>
    </xf>
    <xf numFmtId="178" fontId="4" fillId="14" borderId="0" xfId="0" applyNumberFormat="1" applyFont="1" applyFill="1" applyBorder="1" applyAlignment="1">
      <alignment/>
    </xf>
    <xf numFmtId="4" fontId="0" fillId="14" borderId="0" xfId="0" applyNumberFormat="1" applyFont="1" applyFill="1" applyBorder="1" applyAlignment="1">
      <alignment horizontal="center"/>
    </xf>
    <xf numFmtId="4" fontId="2" fillId="14" borderId="13" xfId="0" applyNumberFormat="1" applyFont="1" applyFill="1" applyBorder="1" applyAlignment="1">
      <alignment horizontal="center"/>
    </xf>
    <xf numFmtId="178" fontId="9" fillId="14" borderId="0" xfId="0" applyNumberFormat="1" applyFont="1" applyFill="1" applyBorder="1" applyAlignment="1">
      <alignment horizontal="right"/>
    </xf>
    <xf numFmtId="0" fontId="1" fillId="14" borderId="0" xfId="0" applyFont="1" applyFill="1" applyBorder="1" applyAlignment="1">
      <alignment horizontal="center"/>
    </xf>
    <xf numFmtId="178" fontId="2" fillId="14" borderId="0" xfId="0" applyNumberFormat="1" applyFont="1" applyFill="1" applyBorder="1" applyAlignment="1">
      <alignment/>
    </xf>
    <xf numFmtId="0" fontId="1" fillId="14" borderId="0" xfId="0" applyFont="1" applyFill="1" applyBorder="1" applyAlignment="1">
      <alignment horizontal="left"/>
    </xf>
    <xf numFmtId="178" fontId="0" fillId="14" borderId="0" xfId="0" applyNumberFormat="1" applyFont="1" applyFill="1" applyBorder="1" applyAlignment="1">
      <alignment horizontal="center"/>
    </xf>
    <xf numFmtId="178" fontId="4" fillId="14" borderId="0" xfId="0" applyNumberFormat="1" applyFont="1" applyFill="1" applyBorder="1" applyAlignment="1">
      <alignment/>
    </xf>
    <xf numFmtId="0" fontId="0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178" fontId="10" fillId="14" borderId="0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/>
    </xf>
    <xf numFmtId="178" fontId="2" fillId="14" borderId="0" xfId="0" applyNumberFormat="1" applyFont="1" applyFill="1" applyBorder="1" applyAlignment="1">
      <alignment/>
    </xf>
    <xf numFmtId="178" fontId="3" fillId="1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97" fontId="5" fillId="0" borderId="10" xfId="0" applyNumberFormat="1" applyFont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4" borderId="11" xfId="54" applyFont="1" applyFill="1" applyBorder="1">
      <alignment/>
      <protection/>
    </xf>
    <xf numFmtId="0" fontId="4" fillId="34" borderId="11" xfId="54" applyFont="1" applyFill="1" applyBorder="1" applyAlignment="1">
      <alignment horizontal="left"/>
      <protection/>
    </xf>
    <xf numFmtId="194" fontId="0" fillId="0" borderId="0" xfId="0" applyNumberFormat="1" applyFont="1" applyAlignment="1">
      <alignment/>
    </xf>
    <xf numFmtId="0" fontId="5" fillId="37" borderId="0" xfId="54" applyNumberFormat="1" applyFont="1" applyFill="1" applyBorder="1" applyAlignment="1">
      <alignment horizontal="right"/>
      <protection/>
    </xf>
    <xf numFmtId="0" fontId="14" fillId="37" borderId="0" xfId="54" applyNumberFormat="1" applyFont="1" applyFill="1" applyBorder="1" applyAlignment="1">
      <alignment horizontal="right"/>
      <protection/>
    </xf>
    <xf numFmtId="0" fontId="14" fillId="37" borderId="0" xfId="54" applyFont="1" applyFill="1" applyBorder="1">
      <alignment/>
      <protection/>
    </xf>
    <xf numFmtId="0" fontId="4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4" fontId="15" fillId="37" borderId="0" xfId="54" applyNumberFormat="1" applyFont="1" applyFill="1" applyBorder="1">
      <alignment/>
      <protection/>
    </xf>
    <xf numFmtId="4" fontId="16" fillId="37" borderId="0" xfId="54" applyNumberFormat="1" applyFont="1" applyFill="1" applyBorder="1">
      <alignment/>
      <protection/>
    </xf>
    <xf numFmtId="4" fontId="14" fillId="37" borderId="0" xfId="54" applyNumberFormat="1" applyFont="1" applyFill="1" applyBorder="1">
      <alignment/>
      <protection/>
    </xf>
    <xf numFmtId="4" fontId="14" fillId="37" borderId="0" xfId="0" applyNumberFormat="1" applyFont="1" applyFill="1" applyBorder="1" applyAlignment="1">
      <alignment/>
    </xf>
    <xf numFmtId="4" fontId="5" fillId="37" borderId="0" xfId="0" applyNumberFormat="1" applyFont="1" applyFill="1" applyBorder="1" applyAlignment="1">
      <alignment/>
    </xf>
    <xf numFmtId="4" fontId="16" fillId="37" borderId="0" xfId="0" applyNumberFormat="1" applyFont="1" applyFill="1" applyBorder="1" applyAlignment="1">
      <alignment/>
    </xf>
    <xf numFmtId="197" fontId="14" fillId="37" borderId="0" xfId="0" applyNumberFormat="1" applyFont="1" applyFill="1" applyBorder="1" applyAlignment="1">
      <alignment/>
    </xf>
    <xf numFmtId="4" fontId="15" fillId="37" borderId="0" xfId="0" applyNumberFormat="1" applyFont="1" applyFill="1" applyAlignment="1">
      <alignment/>
    </xf>
    <xf numFmtId="4" fontId="14" fillId="37" borderId="0" xfId="0" applyNumberFormat="1" applyFont="1" applyFill="1" applyAlignment="1">
      <alignment/>
    </xf>
    <xf numFmtId="0" fontId="57" fillId="14" borderId="0" xfId="0" applyFont="1" applyFill="1" applyBorder="1" applyAlignment="1">
      <alignment horizontal="center" vertical="center"/>
    </xf>
    <xf numFmtId="0" fontId="58" fillId="14" borderId="0" xfId="0" applyFont="1" applyFill="1" applyBorder="1" applyAlignment="1">
      <alignment horizontal="center"/>
    </xf>
    <xf numFmtId="0" fontId="59" fillId="14" borderId="0" xfId="0" applyFont="1" applyFill="1" applyBorder="1" applyAlignment="1">
      <alignment/>
    </xf>
    <xf numFmtId="4" fontId="59" fillId="14" borderId="0" xfId="0" applyNumberFormat="1" applyFont="1" applyFill="1" applyBorder="1" applyAlignment="1">
      <alignment/>
    </xf>
    <xf numFmtId="4" fontId="60" fillId="14" borderId="13" xfId="0" applyNumberFormat="1" applyFont="1" applyFill="1" applyBorder="1" applyAlignment="1">
      <alignment/>
    </xf>
    <xf numFmtId="4" fontId="59" fillId="14" borderId="0" xfId="0" applyNumberFormat="1" applyFont="1" applyFill="1" applyBorder="1" applyAlignment="1">
      <alignment/>
    </xf>
    <xf numFmtId="178" fontId="60" fillId="14" borderId="0" xfId="0" applyNumberFormat="1" applyFont="1" applyFill="1" applyBorder="1" applyAlignment="1">
      <alignment/>
    </xf>
    <xf numFmtId="178" fontId="60" fillId="14" borderId="0" xfId="0" applyNumberFormat="1" applyFont="1" applyFill="1" applyBorder="1" applyAlignment="1">
      <alignment horizontal="center"/>
    </xf>
    <xf numFmtId="0" fontId="60" fillId="14" borderId="0" xfId="0" applyFont="1" applyFill="1" applyBorder="1" applyAlignment="1">
      <alignment/>
    </xf>
    <xf numFmtId="4" fontId="58" fillId="14" borderId="0" xfId="0" applyNumberFormat="1" applyFont="1" applyFill="1" applyBorder="1" applyAlignment="1">
      <alignment horizontal="center"/>
    </xf>
    <xf numFmtId="4" fontId="60" fillId="14" borderId="0" xfId="0" applyNumberFormat="1" applyFont="1" applyFill="1" applyBorder="1" applyAlignment="1">
      <alignment/>
    </xf>
    <xf numFmtId="178" fontId="59" fillId="14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178" fontId="1" fillId="14" borderId="14" xfId="0" applyNumberFormat="1" applyFont="1" applyFill="1" applyBorder="1" applyAlignment="1">
      <alignment/>
    </xf>
    <xf numFmtId="178" fontId="2" fillId="14" borderId="14" xfId="0" applyNumberFormat="1" applyFont="1" applyFill="1" applyBorder="1" applyAlignment="1">
      <alignment/>
    </xf>
    <xf numFmtId="4" fontId="59" fillId="14" borderId="14" xfId="0" applyNumberFormat="1" applyFont="1" applyFill="1" applyBorder="1" applyAlignment="1">
      <alignment/>
    </xf>
    <xf numFmtId="4" fontId="0" fillId="14" borderId="14" xfId="0" applyNumberFormat="1" applyFont="1" applyFill="1" applyBorder="1" applyAlignment="1">
      <alignment horizontal="center"/>
    </xf>
    <xf numFmtId="4" fontId="60" fillId="14" borderId="14" xfId="0" applyNumberFormat="1" applyFont="1" applyFill="1" applyBorder="1" applyAlignment="1">
      <alignment/>
    </xf>
    <xf numFmtId="4" fontId="0" fillId="14" borderId="14" xfId="0" applyNumberFormat="1" applyFont="1" applyFill="1" applyBorder="1" applyAlignment="1">
      <alignment horizontal="center"/>
    </xf>
    <xf numFmtId="4" fontId="4" fillId="14" borderId="14" xfId="0" applyNumberFormat="1" applyFont="1" applyFill="1" applyBorder="1" applyAlignment="1">
      <alignment horizontal="center"/>
    </xf>
    <xf numFmtId="4" fontId="2" fillId="14" borderId="0" xfId="0" applyNumberFormat="1" applyFont="1" applyFill="1" applyBorder="1" applyAlignment="1">
      <alignment horizontal="center"/>
    </xf>
    <xf numFmtId="4" fontId="59" fillId="14" borderId="15" xfId="0" applyNumberFormat="1" applyFont="1" applyFill="1" applyBorder="1" applyAlignment="1">
      <alignment/>
    </xf>
    <xf numFmtId="178" fontId="2" fillId="14" borderId="16" xfId="0" applyNumberFormat="1" applyFont="1" applyFill="1" applyBorder="1" applyAlignment="1">
      <alignment/>
    </xf>
    <xf numFmtId="4" fontId="60" fillId="14" borderId="13" xfId="0" applyNumberFormat="1" applyFont="1" applyFill="1" applyBorder="1" applyAlignment="1">
      <alignment/>
    </xf>
    <xf numFmtId="4" fontId="4" fillId="14" borderId="16" xfId="0" applyNumberFormat="1" applyFont="1" applyFill="1" applyBorder="1" applyAlignment="1">
      <alignment horizontal="center"/>
    </xf>
    <xf numFmtId="4" fontId="60" fillId="14" borderId="10" xfId="0" applyNumberFormat="1" applyFont="1" applyFill="1" applyBorder="1" applyAlignment="1">
      <alignment/>
    </xf>
    <xf numFmtId="4" fontId="4" fillId="14" borderId="10" xfId="0" applyNumberFormat="1" applyFont="1" applyFill="1" applyBorder="1" applyAlignment="1">
      <alignment horizontal="center"/>
    </xf>
    <xf numFmtId="4" fontId="0" fillId="14" borderId="15" xfId="0" applyNumberFormat="1" applyFont="1" applyFill="1" applyBorder="1" applyAlignment="1">
      <alignment horizontal="center"/>
    </xf>
    <xf numFmtId="4" fontId="4" fillId="14" borderId="10" xfId="0" applyNumberFormat="1" applyFont="1" applyFill="1" applyBorder="1" applyAlignment="1">
      <alignment horizontal="center"/>
    </xf>
    <xf numFmtId="178" fontId="59" fillId="14" borderId="14" xfId="0" applyNumberFormat="1" applyFont="1" applyFill="1" applyBorder="1" applyAlignment="1">
      <alignment/>
    </xf>
    <xf numFmtId="178" fontId="1" fillId="14" borderId="14" xfId="0" applyNumberFormat="1" applyFont="1" applyFill="1" applyBorder="1" applyAlignment="1">
      <alignment/>
    </xf>
    <xf numFmtId="178" fontId="59" fillId="14" borderId="15" xfId="0" applyNumberFormat="1" applyFont="1" applyFill="1" applyBorder="1" applyAlignment="1">
      <alignment/>
    </xf>
    <xf numFmtId="178" fontId="60" fillId="14" borderId="14" xfId="0" applyNumberFormat="1" applyFont="1" applyFill="1" applyBorder="1" applyAlignment="1">
      <alignment/>
    </xf>
    <xf numFmtId="178" fontId="60" fillId="14" borderId="15" xfId="0" applyNumberFormat="1" applyFont="1" applyFill="1" applyBorder="1" applyAlignment="1">
      <alignment/>
    </xf>
    <xf numFmtId="178" fontId="1" fillId="14" borderId="15" xfId="0" applyNumberFormat="1" applyFont="1" applyFill="1" applyBorder="1" applyAlignment="1">
      <alignment/>
    </xf>
    <xf numFmtId="178" fontId="2" fillId="14" borderId="15" xfId="0" applyNumberFormat="1" applyFont="1" applyFill="1" applyBorder="1" applyAlignment="1">
      <alignment/>
    </xf>
    <xf numFmtId="178" fontId="2" fillId="14" borderId="14" xfId="0" applyNumberFormat="1" applyFont="1" applyFill="1" applyBorder="1" applyAlignment="1">
      <alignment horizontal="left"/>
    </xf>
    <xf numFmtId="178" fontId="2" fillId="14" borderId="14" xfId="0" applyNumberFormat="1" applyFont="1" applyFill="1" applyBorder="1" applyAlignment="1">
      <alignment horizontal="center"/>
    </xf>
    <xf numFmtId="4" fontId="60" fillId="14" borderId="14" xfId="0" applyNumberFormat="1" applyFont="1" applyFill="1" applyBorder="1" applyAlignment="1">
      <alignment/>
    </xf>
    <xf numFmtId="4" fontId="60" fillId="14" borderId="17" xfId="0" applyNumberFormat="1" applyFont="1" applyFill="1" applyBorder="1" applyAlignment="1">
      <alignment/>
    </xf>
    <xf numFmtId="4" fontId="2" fillId="14" borderId="17" xfId="0" applyNumberFormat="1" applyFont="1" applyFill="1" applyBorder="1" applyAlignment="1">
      <alignment/>
    </xf>
    <xf numFmtId="178" fontId="1" fillId="14" borderId="17" xfId="0" applyNumberFormat="1" applyFont="1" applyFill="1" applyBorder="1" applyAlignment="1">
      <alignment/>
    </xf>
    <xf numFmtId="4" fontId="0" fillId="14" borderId="18" xfId="0" applyNumberFormat="1" applyFont="1" applyFill="1" applyBorder="1" applyAlignment="1">
      <alignment/>
    </xf>
    <xf numFmtId="4" fontId="0" fillId="14" borderId="19" xfId="0" applyNumberFormat="1" applyFont="1" applyFill="1" applyBorder="1" applyAlignment="1">
      <alignment/>
    </xf>
    <xf numFmtId="4" fontId="61" fillId="0" borderId="0" xfId="0" applyNumberFormat="1" applyFont="1" applyAlignment="1">
      <alignment/>
    </xf>
    <xf numFmtId="4" fontId="16" fillId="37" borderId="0" xfId="0" applyNumberFormat="1" applyFont="1" applyFill="1" applyAlignment="1">
      <alignment/>
    </xf>
    <xf numFmtId="4" fontId="17" fillId="37" borderId="0" xfId="0" applyNumberFormat="1" applyFont="1" applyFill="1" applyBorder="1" applyAlignment="1">
      <alignment/>
    </xf>
    <xf numFmtId="0" fontId="2" fillId="14" borderId="20" xfId="0" applyFont="1" applyFill="1" applyBorder="1" applyAlignment="1">
      <alignment horizontal="left"/>
    </xf>
    <xf numFmtId="0" fontId="1" fillId="14" borderId="20" xfId="0" applyFont="1" applyFill="1" applyBorder="1" applyAlignment="1">
      <alignment horizontal="left"/>
    </xf>
    <xf numFmtId="0" fontId="4" fillId="14" borderId="0" xfId="0" applyFont="1" applyFill="1" applyBorder="1" applyAlignment="1">
      <alignment horizontal="center"/>
    </xf>
    <xf numFmtId="178" fontId="2" fillId="14" borderId="0" xfId="0" applyNumberFormat="1" applyFont="1" applyFill="1" applyBorder="1" applyAlignment="1">
      <alignment horizontal="center"/>
    </xf>
    <xf numFmtId="178" fontId="2" fillId="14" borderId="14" xfId="0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0" fillId="14" borderId="21" xfId="0" applyFont="1" applyFill="1" applyBorder="1" applyAlignment="1">
      <alignment/>
    </xf>
    <xf numFmtId="0" fontId="2" fillId="14" borderId="22" xfId="0" applyFont="1" applyFill="1" applyBorder="1" applyAlignment="1">
      <alignment horizontal="left"/>
    </xf>
    <xf numFmtId="0" fontId="2" fillId="14" borderId="16" xfId="0" applyFont="1" applyFill="1" applyBorder="1" applyAlignment="1">
      <alignment horizontal="left"/>
    </xf>
    <xf numFmtId="0" fontId="1" fillId="14" borderId="16" xfId="0" applyFont="1" applyFill="1" applyBorder="1" applyAlignment="1">
      <alignment/>
    </xf>
    <xf numFmtId="0" fontId="59" fillId="14" borderId="16" xfId="0" applyFont="1" applyFill="1" applyBorder="1" applyAlignment="1">
      <alignment/>
    </xf>
    <xf numFmtId="0" fontId="1" fillId="14" borderId="23" xfId="0" applyFont="1" applyFill="1" applyBorder="1" applyAlignment="1">
      <alignment/>
    </xf>
    <xf numFmtId="49" fontId="2" fillId="14" borderId="20" xfId="0" applyNumberFormat="1" applyFont="1" applyFill="1" applyBorder="1" applyAlignment="1">
      <alignment horizontal="left"/>
    </xf>
    <xf numFmtId="49" fontId="1" fillId="14" borderId="21" xfId="0" applyNumberFormat="1" applyFont="1" applyFill="1" applyBorder="1" applyAlignment="1">
      <alignment/>
    </xf>
    <xf numFmtId="0" fontId="1" fillId="14" borderId="21" xfId="0" applyFont="1" applyFill="1" applyBorder="1" applyAlignment="1">
      <alignment/>
    </xf>
    <xf numFmtId="0" fontId="9" fillId="14" borderId="21" xfId="0" applyFont="1" applyFill="1" applyBorder="1" applyAlignment="1">
      <alignment horizontal="center"/>
    </xf>
    <xf numFmtId="178" fontId="1" fillId="14" borderId="21" xfId="0" applyNumberFormat="1" applyFont="1" applyFill="1" applyBorder="1" applyAlignment="1">
      <alignment/>
    </xf>
    <xf numFmtId="0" fontId="2" fillId="14" borderId="21" xfId="0" applyFont="1" applyFill="1" applyBorder="1" applyAlignment="1">
      <alignment/>
    </xf>
    <xf numFmtId="0" fontId="0" fillId="14" borderId="20" xfId="0" applyFont="1" applyFill="1" applyBorder="1" applyAlignment="1">
      <alignment/>
    </xf>
    <xf numFmtId="178" fontId="1" fillId="14" borderId="21" xfId="0" applyNumberFormat="1" applyFont="1" applyFill="1" applyBorder="1" applyAlignment="1">
      <alignment horizontal="center"/>
    </xf>
    <xf numFmtId="178" fontId="2" fillId="14" borderId="24" xfId="0" applyNumberFormat="1" applyFont="1" applyFill="1" applyBorder="1" applyAlignment="1">
      <alignment/>
    </xf>
    <xf numFmtId="178" fontId="2" fillId="14" borderId="21" xfId="0" applyNumberFormat="1" applyFont="1" applyFill="1" applyBorder="1" applyAlignment="1">
      <alignment/>
    </xf>
    <xf numFmtId="0" fontId="0" fillId="14" borderId="25" xfId="0" applyFont="1" applyFill="1" applyBorder="1" applyAlignment="1">
      <alignment/>
    </xf>
    <xf numFmtId="178" fontId="1" fillId="14" borderId="26" xfId="0" applyNumberFormat="1" applyFont="1" applyFill="1" applyBorder="1" applyAlignment="1">
      <alignment horizontal="center"/>
    </xf>
    <xf numFmtId="49" fontId="2" fillId="14" borderId="22" xfId="0" applyNumberFormat="1" applyFont="1" applyFill="1" applyBorder="1" applyAlignment="1">
      <alignment horizontal="left"/>
    </xf>
    <xf numFmtId="49" fontId="1" fillId="14" borderId="23" xfId="0" applyNumberFormat="1" applyFont="1" applyFill="1" applyBorder="1" applyAlignment="1">
      <alignment/>
    </xf>
    <xf numFmtId="178" fontId="2" fillId="14" borderId="27" xfId="0" applyNumberFormat="1" applyFont="1" applyFill="1" applyBorder="1" applyAlignment="1">
      <alignment horizontal="center"/>
    </xf>
    <xf numFmtId="178" fontId="2" fillId="14" borderId="28" xfId="0" applyNumberFormat="1" applyFont="1" applyFill="1" applyBorder="1" applyAlignment="1">
      <alignment horizontal="center"/>
    </xf>
    <xf numFmtId="178" fontId="2" fillId="14" borderId="29" xfId="0" applyNumberFormat="1" applyFont="1" applyFill="1" applyBorder="1" applyAlignment="1">
      <alignment horizontal="center"/>
    </xf>
    <xf numFmtId="178" fontId="2" fillId="14" borderId="3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178" fontId="2" fillId="14" borderId="20" xfId="0" applyNumberFormat="1" applyFont="1" applyFill="1" applyBorder="1" applyAlignment="1">
      <alignment horizontal="center"/>
    </xf>
    <xf numFmtId="178" fontId="2" fillId="14" borderId="0" xfId="0" applyNumberFormat="1" applyFont="1" applyFill="1" applyBorder="1" applyAlignment="1">
      <alignment horizontal="center"/>
    </xf>
    <xf numFmtId="178" fontId="2" fillId="14" borderId="31" xfId="0" applyNumberFormat="1" applyFont="1" applyFill="1" applyBorder="1" applyAlignment="1">
      <alignment horizontal="center"/>
    </xf>
    <xf numFmtId="178" fontId="2" fillId="14" borderId="32" xfId="0" applyNumberFormat="1" applyFont="1" applyFill="1" applyBorder="1" applyAlignment="1">
      <alignment horizontal="center"/>
    </xf>
    <xf numFmtId="178" fontId="2" fillId="14" borderId="33" xfId="0" applyNumberFormat="1" applyFont="1" applyFill="1" applyBorder="1" applyAlignment="1">
      <alignment horizontal="center"/>
    </xf>
    <xf numFmtId="178" fontId="2" fillId="14" borderId="34" xfId="0" applyNumberFormat="1" applyFont="1" applyFill="1" applyBorder="1" applyAlignment="1">
      <alignment horizontal="center"/>
    </xf>
    <xf numFmtId="178" fontId="2" fillId="14" borderId="35" xfId="0" applyNumberFormat="1" applyFont="1" applyFill="1" applyBorder="1" applyAlignment="1">
      <alignment horizontal="center"/>
    </xf>
    <xf numFmtId="178" fontId="2" fillId="14" borderId="36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3" fillId="14" borderId="0" xfId="0" applyFont="1" applyFill="1" applyBorder="1" applyAlignment="1">
      <alignment horizontal="center" vertical="center"/>
    </xf>
    <xf numFmtId="49" fontId="8" fillId="14" borderId="0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178" fontId="2" fillId="14" borderId="37" xfId="0" applyNumberFormat="1" applyFont="1" applyFill="1" applyBorder="1" applyAlignment="1">
      <alignment horizontal="center"/>
    </xf>
    <xf numFmtId="49" fontId="8" fillId="14" borderId="1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111208"/>
        <c:axId val="32892009"/>
      </c:bar3D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7592626"/>
        <c:axId val="47007043"/>
      </c:bar3D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07043"/>
        <c:crosses val="autoZero"/>
        <c:auto val="1"/>
        <c:lblOffset val="100"/>
        <c:tickLblSkip val="1"/>
        <c:noMultiLvlLbl val="0"/>
      </c:catAx>
      <c:valAx>
        <c:axId val="4700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'[2]ESTADO DE RESULTADOS'!#REF!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410204"/>
        <c:axId val="49474109"/>
      </c:bar3D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'[1]ESTADO DE RESULTADOS'!#REF!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613798"/>
        <c:axId val="47979863"/>
      </c:bar3D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165584"/>
        <c:axId val="61163665"/>
      </c:bar3D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602074"/>
        <c:axId val="55309803"/>
      </c:bar3D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026180"/>
        <c:axId val="50909029"/>
      </c:bar3D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6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'[1]ESTADO DE RESULTADOS'!#REF!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'[1]ESTADO DE RESULTADOS'!#REF!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'[1]ESTADO DE RESULTADOS'!#REF!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'[1]ESTADO DE RESULTADOS'!#REF!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528078"/>
        <c:axId val="29990655"/>
      </c:bar3D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1" name="Chart 3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3" name="Chart 11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65</xdr:row>
      <xdr:rowOff>0</xdr:rowOff>
    </xdr:from>
    <xdr:to>
      <xdr:col>6</xdr:col>
      <xdr:colOff>142875</xdr:colOff>
      <xdr:row>65</xdr:row>
      <xdr:rowOff>0</xdr:rowOff>
    </xdr:to>
    <xdr:graphicFrame>
      <xdr:nvGraphicFramePr>
        <xdr:cNvPr id="4" name="Chart 12"/>
        <xdr:cNvGraphicFramePr/>
      </xdr:nvGraphicFramePr>
      <xdr:xfrm>
        <a:off x="85725" y="10620375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1504950</xdr:colOff>
      <xdr:row>3</xdr:row>
      <xdr:rowOff>95250</xdr:rowOff>
    </xdr:to>
    <xdr:pic>
      <xdr:nvPicPr>
        <xdr:cNvPr id="5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000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72</xdr:row>
      <xdr:rowOff>47625</xdr:rowOff>
    </xdr:from>
    <xdr:to>
      <xdr:col>1</xdr:col>
      <xdr:colOff>1533525</xdr:colOff>
      <xdr:row>74</xdr:row>
      <xdr:rowOff>104775</xdr:rowOff>
    </xdr:to>
    <xdr:pic>
      <xdr:nvPicPr>
        <xdr:cNvPr id="6" name="Imagen 1" descr="logoTEDF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18967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2486025</xdr:colOff>
      <xdr:row>61</xdr:row>
      <xdr:rowOff>57150</xdr:rowOff>
    </xdr:from>
    <xdr:to>
      <xdr:col>3</xdr:col>
      <xdr:colOff>857250</xdr:colOff>
      <xdr:row>61</xdr:row>
      <xdr:rowOff>66675</xdr:rowOff>
    </xdr:to>
    <xdr:sp>
      <xdr:nvSpPr>
        <xdr:cNvPr id="7" name="Conector recto 2"/>
        <xdr:cNvSpPr>
          <a:spLocks/>
        </xdr:cNvSpPr>
      </xdr:nvSpPr>
      <xdr:spPr>
        <a:xfrm>
          <a:off x="2571750" y="9953625"/>
          <a:ext cx="3124200" cy="9525"/>
        </a:xfrm>
        <a:prstGeom prst="line">
          <a:avLst/>
        </a:prstGeom>
        <a:noFill/>
        <a:ln w="9525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134</xdr:row>
      <xdr:rowOff>0</xdr:rowOff>
    </xdr:from>
    <xdr:to>
      <xdr:col>6</xdr:col>
      <xdr:colOff>142875</xdr:colOff>
      <xdr:row>134</xdr:row>
      <xdr:rowOff>0</xdr:rowOff>
    </xdr:to>
    <xdr:graphicFrame>
      <xdr:nvGraphicFramePr>
        <xdr:cNvPr id="8" name="Chart 3"/>
        <xdr:cNvGraphicFramePr/>
      </xdr:nvGraphicFramePr>
      <xdr:xfrm>
        <a:off x="85725" y="2257425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134</xdr:row>
      <xdr:rowOff>0</xdr:rowOff>
    </xdr:from>
    <xdr:to>
      <xdr:col>6</xdr:col>
      <xdr:colOff>142875</xdr:colOff>
      <xdr:row>134</xdr:row>
      <xdr:rowOff>0</xdr:rowOff>
    </xdr:to>
    <xdr:graphicFrame>
      <xdr:nvGraphicFramePr>
        <xdr:cNvPr id="9" name="Chart 8"/>
        <xdr:cNvGraphicFramePr/>
      </xdr:nvGraphicFramePr>
      <xdr:xfrm>
        <a:off x="85725" y="22574250"/>
        <a:ext cx="810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134</xdr:row>
      <xdr:rowOff>0</xdr:rowOff>
    </xdr:from>
    <xdr:to>
      <xdr:col>6</xdr:col>
      <xdr:colOff>142875</xdr:colOff>
      <xdr:row>134</xdr:row>
      <xdr:rowOff>0</xdr:rowOff>
    </xdr:to>
    <xdr:graphicFrame>
      <xdr:nvGraphicFramePr>
        <xdr:cNvPr id="10" name="Chart 11"/>
        <xdr:cNvGraphicFramePr/>
      </xdr:nvGraphicFramePr>
      <xdr:xfrm>
        <a:off x="85725" y="22574250"/>
        <a:ext cx="8105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134</xdr:row>
      <xdr:rowOff>0</xdr:rowOff>
    </xdr:from>
    <xdr:to>
      <xdr:col>6</xdr:col>
      <xdr:colOff>142875</xdr:colOff>
      <xdr:row>134</xdr:row>
      <xdr:rowOff>0</xdr:rowOff>
    </xdr:to>
    <xdr:graphicFrame>
      <xdr:nvGraphicFramePr>
        <xdr:cNvPr id="11" name="Chart 12"/>
        <xdr:cNvGraphicFramePr/>
      </xdr:nvGraphicFramePr>
      <xdr:xfrm>
        <a:off x="85725" y="22574250"/>
        <a:ext cx="8105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2486025</xdr:colOff>
      <xdr:row>126</xdr:row>
      <xdr:rowOff>57150</xdr:rowOff>
    </xdr:from>
    <xdr:to>
      <xdr:col>3</xdr:col>
      <xdr:colOff>857250</xdr:colOff>
      <xdr:row>126</xdr:row>
      <xdr:rowOff>66675</xdr:rowOff>
    </xdr:to>
    <xdr:sp>
      <xdr:nvSpPr>
        <xdr:cNvPr id="12" name="Conector recto 17"/>
        <xdr:cNvSpPr>
          <a:spLocks/>
        </xdr:cNvSpPr>
      </xdr:nvSpPr>
      <xdr:spPr>
        <a:xfrm>
          <a:off x="2571750" y="21259800"/>
          <a:ext cx="3124200" cy="9525"/>
        </a:xfrm>
        <a:prstGeom prst="line">
          <a:avLst/>
        </a:prstGeom>
        <a:noFill/>
        <a:ln w="9525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01-2005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cisco%20hernandez\Mis%20documentos\Edosfin2005\31-12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ura.galvan\AppData\Local\Microsoft\Windows\INetCache\Content.Outlook\3I16J2KZ\31-01-20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ES BANCARIAS"/>
      <sheetName val="ORIGEN Y APLICACION"/>
      <sheetName val="AMARRE ACTIVO FIJO"/>
      <sheetName val="INDIC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POSICION"/>
      <sheetName val="ESTADO DE RESULTADOS"/>
      <sheetName val="ANEXOS"/>
      <sheetName val="PRESUPACUM"/>
      <sheetName val="PREEJERACUM"/>
      <sheetName val="ANALITICO"/>
      <sheetName val="REPLANT"/>
      <sheetName val="ANAMENSUAL"/>
      <sheetName val="COCILIACION SANTANDER"/>
      <sheetName val="ORIGEN Y APLICACION"/>
      <sheetName val="AMARRE ACTIVO FIJO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="70" zoomScaleNormal="70" zoomScalePageLayoutView="0" workbookViewId="0" topLeftCell="A1">
      <selection activeCell="O62" sqref="O62"/>
    </sheetView>
  </sheetViews>
  <sheetFormatPr defaultColWidth="11.421875" defaultRowHeight="12.75"/>
  <cols>
    <col min="1" max="1" width="1.28515625" style="3" customWidth="1"/>
    <col min="2" max="2" width="70.7109375" style="3" customWidth="1"/>
    <col min="3" max="3" width="0.5625" style="3" customWidth="1"/>
    <col min="4" max="4" width="18.140625" style="156" customWidth="1"/>
    <col min="5" max="5" width="9.7109375" style="6" customWidth="1"/>
    <col min="6" max="6" width="20.28125" style="3" customWidth="1"/>
    <col min="7" max="7" width="3.8515625" style="6" customWidth="1"/>
    <col min="8" max="8" width="13.7109375" style="3" bestFit="1" customWidth="1"/>
    <col min="9" max="9" width="19.7109375" style="3" bestFit="1" customWidth="1"/>
    <col min="10" max="16384" width="11.421875" style="3" customWidth="1"/>
  </cols>
  <sheetData>
    <row r="1" spans="1:7" ht="12.75">
      <c r="A1" s="198"/>
      <c r="B1" s="199"/>
      <c r="C1" s="200"/>
      <c r="D1" s="201"/>
      <c r="E1" s="200"/>
      <c r="F1" s="200"/>
      <c r="G1" s="202"/>
    </row>
    <row r="2" spans="1:7" ht="20.25">
      <c r="A2" s="203"/>
      <c r="B2" s="233" t="s">
        <v>67</v>
      </c>
      <c r="C2" s="233"/>
      <c r="D2" s="233"/>
      <c r="E2" s="233"/>
      <c r="F2" s="233"/>
      <c r="G2" s="204"/>
    </row>
    <row r="3" spans="1:7" ht="18">
      <c r="A3" s="191"/>
      <c r="B3" s="235" t="s">
        <v>68</v>
      </c>
      <c r="C3" s="235"/>
      <c r="D3" s="235"/>
      <c r="E3" s="235"/>
      <c r="F3" s="235"/>
      <c r="G3" s="205"/>
    </row>
    <row r="4" spans="1:7" ht="18">
      <c r="A4" s="191"/>
      <c r="B4" s="196"/>
      <c r="C4" s="196"/>
      <c r="D4" s="144"/>
      <c r="E4" s="196"/>
      <c r="F4" s="196"/>
      <c r="G4" s="205"/>
    </row>
    <row r="5" spans="1:7" ht="13.5" customHeight="1">
      <c r="A5" s="191"/>
      <c r="B5" s="196"/>
      <c r="C5" s="196"/>
      <c r="D5" s="144"/>
      <c r="E5" s="196"/>
      <c r="F5" s="196"/>
      <c r="G5" s="205"/>
    </row>
    <row r="6" spans="1:7" ht="15.75">
      <c r="A6" s="191"/>
      <c r="B6" s="234" t="s">
        <v>245</v>
      </c>
      <c r="C6" s="234"/>
      <c r="D6" s="234"/>
      <c r="E6" s="234"/>
      <c r="F6" s="234"/>
      <c r="G6" s="205"/>
    </row>
    <row r="7" spans="1:7" ht="6" customHeight="1">
      <c r="A7" s="191"/>
      <c r="B7" s="234" t="s">
        <v>81</v>
      </c>
      <c r="C7" s="232"/>
      <c r="D7" s="232"/>
      <c r="E7" s="232"/>
      <c r="F7" s="232"/>
      <c r="G7" s="205"/>
    </row>
    <row r="8" spans="1:7" ht="15" customHeight="1">
      <c r="A8" s="191"/>
      <c r="B8" s="101" t="s">
        <v>28</v>
      </c>
      <c r="C8" s="102" t="s">
        <v>27</v>
      </c>
      <c r="D8" s="145" t="s">
        <v>29</v>
      </c>
      <c r="E8" s="104"/>
      <c r="F8" s="103" t="s">
        <v>30</v>
      </c>
      <c r="G8" s="206"/>
    </row>
    <row r="9" spans="1:7" ht="3.75" customHeight="1">
      <c r="A9" s="191"/>
      <c r="B9" s="105"/>
      <c r="C9" s="102"/>
      <c r="D9" s="146"/>
      <c r="E9" s="102"/>
      <c r="F9" s="102"/>
      <c r="G9" s="205"/>
    </row>
    <row r="10" spans="1:9" ht="12.75" customHeight="1">
      <c r="A10" s="192"/>
      <c r="B10" s="157" t="s">
        <v>167</v>
      </c>
      <c r="C10" s="99"/>
      <c r="D10" s="186">
        <v>317868341.3399999</v>
      </c>
      <c r="E10" s="106"/>
      <c r="F10" s="162">
        <v>99.3235021501968</v>
      </c>
      <c r="G10" s="207"/>
      <c r="H10" s="1"/>
      <c r="I10" s="4"/>
    </row>
    <row r="11" spans="1:8" ht="12.75" customHeight="1">
      <c r="A11" s="192"/>
      <c r="B11" s="157" t="s">
        <v>168</v>
      </c>
      <c r="C11" s="99"/>
      <c r="D11" s="187">
        <v>2165018.8</v>
      </c>
      <c r="E11" s="106"/>
      <c r="F11" s="162">
        <v>0.6764978498031903</v>
      </c>
      <c r="G11" s="207"/>
      <c r="H11" s="10"/>
    </row>
    <row r="12" spans="1:8" s="6" customFormat="1" ht="12.75" customHeight="1">
      <c r="A12" s="192"/>
      <c r="B12" s="166" t="s">
        <v>84</v>
      </c>
      <c r="C12" s="99"/>
      <c r="D12" s="167">
        <v>320033360.1399999</v>
      </c>
      <c r="E12" s="106"/>
      <c r="F12" s="168">
        <v>100</v>
      </c>
      <c r="G12" s="207"/>
      <c r="H12" s="5"/>
    </row>
    <row r="13" spans="1:7" ht="7.5" customHeight="1">
      <c r="A13" s="192"/>
      <c r="B13" s="107"/>
      <c r="C13" s="99"/>
      <c r="D13" s="147"/>
      <c r="E13" s="106"/>
      <c r="F13" s="109"/>
      <c r="G13" s="207"/>
    </row>
    <row r="14" spans="1:9" ht="15" customHeight="1">
      <c r="A14" s="192"/>
      <c r="B14" s="157"/>
      <c r="C14" s="100"/>
      <c r="D14" s="159"/>
      <c r="E14" s="108"/>
      <c r="F14" s="160"/>
      <c r="G14" s="207"/>
      <c r="I14" s="4"/>
    </row>
    <row r="15" spans="1:7" ht="7.5" customHeight="1">
      <c r="A15" s="192"/>
      <c r="B15" s="107"/>
      <c r="C15" s="99"/>
      <c r="D15" s="147"/>
      <c r="E15" s="106"/>
      <c r="F15" s="109"/>
      <c r="G15" s="207"/>
    </row>
    <row r="16" spans="1:7" ht="12.75" customHeight="1">
      <c r="A16" s="192"/>
      <c r="B16" s="158"/>
      <c r="C16" s="99"/>
      <c r="D16" s="161"/>
      <c r="E16" s="106"/>
      <c r="F16" s="163"/>
      <c r="G16" s="207"/>
    </row>
    <row r="17" spans="1:9" ht="12.75" customHeight="1">
      <c r="A17" s="192"/>
      <c r="B17" s="157"/>
      <c r="C17" s="99"/>
      <c r="D17" s="159"/>
      <c r="E17" s="106"/>
      <c r="F17" s="162"/>
      <c r="G17" s="207"/>
      <c r="I17" s="4"/>
    </row>
    <row r="18" spans="1:9" ht="12.75" customHeight="1">
      <c r="A18" s="192"/>
      <c r="B18" s="158" t="s">
        <v>85</v>
      </c>
      <c r="C18" s="99"/>
      <c r="D18" s="159"/>
      <c r="E18" s="106"/>
      <c r="F18" s="162"/>
      <c r="G18" s="207"/>
      <c r="I18" s="4"/>
    </row>
    <row r="19" spans="1:9" ht="12.75" customHeight="1">
      <c r="A19" s="192"/>
      <c r="B19" s="157" t="s">
        <v>86</v>
      </c>
      <c r="C19" s="99"/>
      <c r="D19" s="159">
        <v>0</v>
      </c>
      <c r="E19" s="106"/>
      <c r="F19" s="162">
        <v>0</v>
      </c>
      <c r="G19" s="207"/>
      <c r="I19" s="4"/>
    </row>
    <row r="20" spans="1:9" ht="12.75" customHeight="1">
      <c r="A20" s="192"/>
      <c r="B20" s="157" t="s">
        <v>87</v>
      </c>
      <c r="C20" s="99"/>
      <c r="D20" s="159">
        <v>0</v>
      </c>
      <c r="E20" s="106"/>
      <c r="F20" s="162">
        <v>0</v>
      </c>
      <c r="G20" s="207"/>
      <c r="I20" s="4"/>
    </row>
    <row r="21" spans="1:9" ht="12.75" customHeight="1">
      <c r="A21" s="192"/>
      <c r="B21" s="157" t="s">
        <v>19</v>
      </c>
      <c r="C21" s="99"/>
      <c r="D21" s="159">
        <v>0</v>
      </c>
      <c r="E21" s="106"/>
      <c r="F21" s="162">
        <v>0</v>
      </c>
      <c r="G21" s="207"/>
      <c r="I21" s="4"/>
    </row>
    <row r="22" spans="1:9" ht="12.75" customHeight="1">
      <c r="A22" s="192"/>
      <c r="B22" s="157" t="s">
        <v>18</v>
      </c>
      <c r="C22" s="99"/>
      <c r="D22" s="159">
        <v>0</v>
      </c>
      <c r="E22" s="106"/>
      <c r="F22" s="162">
        <v>0</v>
      </c>
      <c r="G22" s="207"/>
      <c r="I22" s="4"/>
    </row>
    <row r="23" spans="1:8" ht="12.75" customHeight="1">
      <c r="A23" s="192"/>
      <c r="B23" s="157"/>
      <c r="C23" s="99"/>
      <c r="D23" s="159"/>
      <c r="E23" s="106"/>
      <c r="F23" s="162"/>
      <c r="G23" s="207"/>
      <c r="H23" s="4"/>
    </row>
    <row r="24" spans="1:9" s="6" customFormat="1" ht="15" customHeight="1">
      <c r="A24" s="192"/>
      <c r="B24" s="166" t="s">
        <v>85</v>
      </c>
      <c r="C24" s="102" t="s">
        <v>35</v>
      </c>
      <c r="D24" s="154">
        <v>0</v>
      </c>
      <c r="E24" s="107"/>
      <c r="F24" s="164">
        <v>0</v>
      </c>
      <c r="G24" s="207"/>
      <c r="H24" s="5"/>
      <c r="I24" s="5"/>
    </row>
    <row r="25" spans="1:8" ht="15" customHeight="1">
      <c r="A25" s="192"/>
      <c r="B25" s="111" t="s">
        <v>187</v>
      </c>
      <c r="C25" s="102"/>
      <c r="D25" s="148">
        <v>320033360.1399999</v>
      </c>
      <c r="E25" s="107"/>
      <c r="F25" s="110">
        <v>100</v>
      </c>
      <c r="G25" s="207"/>
      <c r="H25" s="129"/>
    </row>
    <row r="26" spans="1:7" ht="15" customHeight="1">
      <c r="A26" s="191"/>
      <c r="B26" s="103" t="s">
        <v>88</v>
      </c>
      <c r="C26" s="102"/>
      <c r="D26" s="149"/>
      <c r="E26" s="102"/>
      <c r="F26" s="112"/>
      <c r="G26" s="205"/>
    </row>
    <row r="27" spans="1:7" ht="15" customHeight="1">
      <c r="A27" s="191"/>
      <c r="B27" s="113" t="s">
        <v>31</v>
      </c>
      <c r="C27" s="102"/>
      <c r="D27" s="149" t="s">
        <v>27</v>
      </c>
      <c r="E27" s="102"/>
      <c r="F27" s="112" t="s">
        <v>27</v>
      </c>
      <c r="G27" s="205"/>
    </row>
    <row r="28" spans="1:7" ht="12.75">
      <c r="A28" s="192"/>
      <c r="B28" s="157" t="s">
        <v>8</v>
      </c>
      <c r="C28" s="99"/>
      <c r="D28" s="159">
        <v>33857507.42</v>
      </c>
      <c r="E28" s="106"/>
      <c r="F28" s="162">
        <v>10.57936816499033</v>
      </c>
      <c r="G28" s="205"/>
    </row>
    <row r="29" spans="1:7" ht="12.75">
      <c r="A29" s="192"/>
      <c r="B29" s="157" t="s">
        <v>32</v>
      </c>
      <c r="C29" s="99"/>
      <c r="D29" s="159">
        <v>8318541.029999998</v>
      </c>
      <c r="E29" s="106"/>
      <c r="F29" s="162">
        <v>2.599273096517506</v>
      </c>
      <c r="G29" s="205"/>
    </row>
    <row r="30" spans="1:7" ht="12.75">
      <c r="A30" s="192"/>
      <c r="B30" s="157" t="s">
        <v>33</v>
      </c>
      <c r="C30" s="99"/>
      <c r="D30" s="159">
        <v>36101103.41</v>
      </c>
      <c r="E30" s="106"/>
      <c r="F30" s="162">
        <v>11.280418827027102</v>
      </c>
      <c r="G30" s="205"/>
    </row>
    <row r="31" spans="1:7" ht="12.75">
      <c r="A31" s="191"/>
      <c r="B31" s="157" t="s">
        <v>34</v>
      </c>
      <c r="C31" s="99"/>
      <c r="D31" s="159">
        <v>12387178.34</v>
      </c>
      <c r="E31" s="106"/>
      <c r="F31" s="162">
        <v>3.8705897205782476</v>
      </c>
      <c r="G31" s="208"/>
    </row>
    <row r="32" spans="1:7" ht="12.75">
      <c r="A32" s="191"/>
      <c r="B32" s="157" t="s">
        <v>16</v>
      </c>
      <c r="C32" s="99"/>
      <c r="D32" s="165">
        <v>188018723.2</v>
      </c>
      <c r="E32" s="106"/>
      <c r="F32" s="162">
        <v>58.74972631532863</v>
      </c>
      <c r="G32" s="205"/>
    </row>
    <row r="33" spans="1:7" ht="9" customHeight="1">
      <c r="A33" s="191"/>
      <c r="B33" s="114"/>
      <c r="C33" s="99"/>
      <c r="D33" s="147"/>
      <c r="E33" s="106"/>
      <c r="F33" s="109"/>
      <c r="G33" s="205"/>
    </row>
    <row r="34" spans="1:9" s="6" customFormat="1" ht="15" customHeight="1">
      <c r="A34" s="192"/>
      <c r="B34" s="194" t="s">
        <v>35</v>
      </c>
      <c r="C34" s="99"/>
      <c r="D34" s="169">
        <v>278683053.4</v>
      </c>
      <c r="E34" s="108"/>
      <c r="F34" s="170">
        <v>87.07937612444181</v>
      </c>
      <c r="G34" s="205"/>
      <c r="I34" s="5"/>
    </row>
    <row r="35" spans="1:7" ht="15" customHeight="1">
      <c r="A35" s="191"/>
      <c r="B35" s="113" t="s">
        <v>36</v>
      </c>
      <c r="C35" s="102"/>
      <c r="D35" s="149" t="s">
        <v>27</v>
      </c>
      <c r="E35" s="102"/>
      <c r="F35" s="112" t="s">
        <v>27</v>
      </c>
      <c r="G35" s="208"/>
    </row>
    <row r="36" spans="1:7" ht="12.75">
      <c r="A36" s="191"/>
      <c r="B36" s="157" t="s">
        <v>199</v>
      </c>
      <c r="C36" s="99"/>
      <c r="D36" s="159">
        <v>1606609.36</v>
      </c>
      <c r="E36" s="106"/>
      <c r="F36" s="162">
        <v>0.5020130899157457</v>
      </c>
      <c r="G36" s="205"/>
    </row>
    <row r="37" spans="1:7" s="7" customFormat="1" ht="12.75">
      <c r="A37" s="209"/>
      <c r="B37" s="157" t="s">
        <v>9</v>
      </c>
      <c r="C37" s="99"/>
      <c r="D37" s="159">
        <v>385460.12</v>
      </c>
      <c r="E37" s="106"/>
      <c r="F37" s="162">
        <v>0.1204437311883295</v>
      </c>
      <c r="G37" s="197"/>
    </row>
    <row r="38" spans="1:7" s="7" customFormat="1" ht="12.75">
      <c r="A38" s="209"/>
      <c r="B38" s="157" t="s">
        <v>200</v>
      </c>
      <c r="C38" s="99"/>
      <c r="D38" s="159">
        <v>210090.22</v>
      </c>
      <c r="E38" s="106"/>
      <c r="F38" s="162">
        <v>0.06564635008928293</v>
      </c>
      <c r="G38" s="197"/>
    </row>
    <row r="39" spans="1:7" s="7" customFormat="1" ht="12.75">
      <c r="A39" s="209"/>
      <c r="B39" s="157" t="s">
        <v>201</v>
      </c>
      <c r="C39" s="99"/>
      <c r="D39" s="159">
        <v>74924.73999999999</v>
      </c>
      <c r="E39" s="106"/>
      <c r="F39" s="162">
        <v>0.023411540586651295</v>
      </c>
      <c r="G39" s="197"/>
    </row>
    <row r="40" spans="1:7" s="7" customFormat="1" ht="12.75">
      <c r="A40" s="209"/>
      <c r="B40" s="157" t="s">
        <v>10</v>
      </c>
      <c r="C40" s="99"/>
      <c r="D40" s="159">
        <v>208037.99</v>
      </c>
      <c r="E40" s="106"/>
      <c r="F40" s="162">
        <v>0.06500509506539971</v>
      </c>
      <c r="G40" s="197"/>
    </row>
    <row r="41" spans="1:7" s="7" customFormat="1" ht="12.75">
      <c r="A41" s="209"/>
      <c r="B41" s="157" t="s">
        <v>24</v>
      </c>
      <c r="C41" s="99"/>
      <c r="D41" s="159">
        <v>14578.17</v>
      </c>
      <c r="E41" s="106"/>
      <c r="F41" s="162">
        <v>0.00455520324306901</v>
      </c>
      <c r="G41" s="197"/>
    </row>
    <row r="42" spans="1:7" s="7" customFormat="1" ht="12.75">
      <c r="A42" s="209"/>
      <c r="B42" s="157" t="s">
        <v>202</v>
      </c>
      <c r="C42" s="99"/>
      <c r="D42" s="165">
        <v>51244.55</v>
      </c>
      <c r="E42" s="106"/>
      <c r="F42" s="171">
        <v>0.016012252590662066</v>
      </c>
      <c r="G42" s="197"/>
    </row>
    <row r="43" spans="1:7" s="7" customFormat="1" ht="6.75" customHeight="1">
      <c r="A43" s="209"/>
      <c r="B43" s="107" t="s">
        <v>37</v>
      </c>
      <c r="C43" s="99"/>
      <c r="D43" s="147"/>
      <c r="E43" s="106"/>
      <c r="F43" s="115"/>
      <c r="G43" s="197"/>
    </row>
    <row r="44" spans="1:9" s="6" customFormat="1" ht="15" customHeight="1">
      <c r="A44" s="192"/>
      <c r="B44" s="194" t="s">
        <v>35</v>
      </c>
      <c r="C44" s="99"/>
      <c r="D44" s="169">
        <v>2550945.1500000004</v>
      </c>
      <c r="E44" s="108"/>
      <c r="F44" s="170">
        <v>0.7970872626791402</v>
      </c>
      <c r="G44" s="205"/>
      <c r="I44" s="5"/>
    </row>
    <row r="45" spans="1:7" s="7" customFormat="1" ht="15" customHeight="1">
      <c r="A45" s="209"/>
      <c r="B45" s="113" t="s">
        <v>38</v>
      </c>
      <c r="C45" s="99"/>
      <c r="D45" s="147"/>
      <c r="E45" s="99"/>
      <c r="F45" s="117"/>
      <c r="G45" s="197"/>
    </row>
    <row r="46" spans="1:7" s="7" customFormat="1" ht="12.75">
      <c r="A46" s="209"/>
      <c r="B46" s="157" t="s">
        <v>11</v>
      </c>
      <c r="C46" s="99"/>
      <c r="D46" s="159">
        <v>1843454.7899999998</v>
      </c>
      <c r="E46" s="106"/>
      <c r="F46" s="162">
        <v>0.576019571582654</v>
      </c>
      <c r="G46" s="197"/>
    </row>
    <row r="47" spans="1:7" s="7" customFormat="1" ht="12.75">
      <c r="A47" s="209"/>
      <c r="B47" s="157" t="s">
        <v>203</v>
      </c>
      <c r="C47" s="99"/>
      <c r="D47" s="159">
        <v>1049076.27</v>
      </c>
      <c r="E47" s="106"/>
      <c r="F47" s="162">
        <v>0.32780216085631736</v>
      </c>
      <c r="G47" s="197"/>
    </row>
    <row r="48" spans="1:7" s="7" customFormat="1" ht="12.75">
      <c r="A48" s="209"/>
      <c r="B48" s="157" t="s">
        <v>204</v>
      </c>
      <c r="C48" s="99"/>
      <c r="D48" s="159">
        <v>19099067.81</v>
      </c>
      <c r="E48" s="106"/>
      <c r="F48" s="162">
        <v>5.967836541054668</v>
      </c>
      <c r="G48" s="197"/>
    </row>
    <row r="49" spans="1:7" s="7" customFormat="1" ht="12.75">
      <c r="A49" s="209"/>
      <c r="B49" s="157" t="s">
        <v>205</v>
      </c>
      <c r="C49" s="99"/>
      <c r="D49" s="159">
        <v>327126.36</v>
      </c>
      <c r="E49" s="106"/>
      <c r="F49" s="162">
        <v>0.10221633140273165</v>
      </c>
      <c r="G49" s="197"/>
    </row>
    <row r="50" spans="1:7" s="7" customFormat="1" ht="12.75">
      <c r="A50" s="209"/>
      <c r="B50" s="157" t="s">
        <v>206</v>
      </c>
      <c r="C50" s="99"/>
      <c r="D50" s="159">
        <v>3675570.7</v>
      </c>
      <c r="E50" s="106"/>
      <c r="F50" s="162">
        <v>1.1484961125278021</v>
      </c>
      <c r="G50" s="197"/>
    </row>
    <row r="51" spans="1:7" s="7" customFormat="1" ht="12.75">
      <c r="A51" s="209"/>
      <c r="B51" s="157" t="s">
        <v>207</v>
      </c>
      <c r="C51" s="99"/>
      <c r="D51" s="159">
        <v>813311.91</v>
      </c>
      <c r="E51" s="106"/>
      <c r="F51" s="162">
        <v>0.2541334783486988</v>
      </c>
      <c r="G51" s="197"/>
    </row>
    <row r="52" spans="1:7" s="7" customFormat="1" ht="12.75">
      <c r="A52" s="209"/>
      <c r="B52" s="157" t="s">
        <v>208</v>
      </c>
      <c r="C52" s="99"/>
      <c r="D52" s="159">
        <v>171341.07</v>
      </c>
      <c r="E52" s="106"/>
      <c r="F52" s="162">
        <v>0.053538502962643064</v>
      </c>
      <c r="G52" s="197"/>
    </row>
    <row r="53" spans="1:7" s="7" customFormat="1" ht="12.75">
      <c r="A53" s="209"/>
      <c r="B53" s="157" t="s">
        <v>39</v>
      </c>
      <c r="C53" s="99"/>
      <c r="D53" s="159">
        <v>2133588.33</v>
      </c>
      <c r="E53" s="106"/>
      <c r="F53" s="162">
        <v>0.6666768517715318</v>
      </c>
      <c r="G53" s="197"/>
    </row>
    <row r="54" spans="1:7" s="7" customFormat="1" ht="12.75">
      <c r="A54" s="209"/>
      <c r="B54" s="157" t="s">
        <v>166</v>
      </c>
      <c r="C54" s="99"/>
      <c r="D54" s="159">
        <v>72960</v>
      </c>
      <c r="E54" s="106"/>
      <c r="F54" s="162">
        <v>0.022797623337793078</v>
      </c>
      <c r="G54" s="197"/>
    </row>
    <row r="55" spans="1:7" s="7" customFormat="1" ht="12.75" customHeight="1">
      <c r="A55" s="209"/>
      <c r="B55" s="157" t="s">
        <v>198</v>
      </c>
      <c r="C55" s="99"/>
      <c r="D55" s="165">
        <v>7448845.56</v>
      </c>
      <c r="E55" s="106"/>
      <c r="F55" s="171">
        <v>2.3275215923557067</v>
      </c>
      <c r="G55" s="197"/>
    </row>
    <row r="56" spans="1:7" s="7" customFormat="1" ht="6.75" customHeight="1">
      <c r="A56" s="209"/>
      <c r="B56" s="107"/>
      <c r="C56" s="99"/>
      <c r="D56" s="147"/>
      <c r="E56" s="106"/>
      <c r="F56" s="109"/>
      <c r="G56" s="197"/>
    </row>
    <row r="57" spans="1:7" s="13" customFormat="1" ht="15" customHeight="1">
      <c r="A57" s="209"/>
      <c r="B57" s="194" t="s">
        <v>35</v>
      </c>
      <c r="C57" s="100"/>
      <c r="D57" s="169">
        <v>36634342.8</v>
      </c>
      <c r="E57" s="108"/>
      <c r="F57" s="172">
        <v>11.447038766200547</v>
      </c>
      <c r="G57" s="197"/>
    </row>
    <row r="58" spans="1:7" s="7" customFormat="1" ht="6.75" customHeight="1">
      <c r="A58" s="209"/>
      <c r="B58" s="194"/>
      <c r="C58" s="99"/>
      <c r="D58" s="150"/>
      <c r="E58" s="116"/>
      <c r="F58" s="113"/>
      <c r="G58" s="197"/>
    </row>
    <row r="59" spans="1:7" s="7" customFormat="1" ht="12.75" customHeight="1">
      <c r="A59" s="209"/>
      <c r="B59" s="223" t="s">
        <v>3</v>
      </c>
      <c r="C59" s="223"/>
      <c r="D59" s="223"/>
      <c r="E59" s="223"/>
      <c r="F59" s="223"/>
      <c r="G59" s="205"/>
    </row>
    <row r="60" spans="1:7" s="7" customFormat="1" ht="12.75" customHeight="1">
      <c r="A60" s="209"/>
      <c r="B60" s="194"/>
      <c r="C60" s="118"/>
      <c r="D60" s="151"/>
      <c r="E60" s="194"/>
      <c r="F60" s="194"/>
      <c r="G60" s="205"/>
    </row>
    <row r="61" spans="1:9" s="7" customFormat="1" ht="15.75" customHeight="1">
      <c r="A61" s="209"/>
      <c r="B61" s="194"/>
      <c r="C61" s="118"/>
      <c r="D61" s="151"/>
      <c r="E61" s="194"/>
      <c r="F61" s="194"/>
      <c r="G61" s="205"/>
      <c r="H61" s="13"/>
      <c r="I61" s="13"/>
    </row>
    <row r="62" spans="1:7" s="7" customFormat="1" ht="19.5" customHeight="1">
      <c r="A62" s="209"/>
      <c r="B62" s="222" t="s">
        <v>234</v>
      </c>
      <c r="C62" s="223"/>
      <c r="D62" s="223"/>
      <c r="E62" s="223"/>
      <c r="F62" s="223"/>
      <c r="G62" s="205"/>
    </row>
    <row r="63" spans="1:7" s="7" customFormat="1" ht="12" customHeight="1">
      <c r="A63" s="209"/>
      <c r="B63" s="222" t="s">
        <v>22</v>
      </c>
      <c r="C63" s="223"/>
      <c r="D63" s="223"/>
      <c r="E63" s="223"/>
      <c r="F63" s="223"/>
      <c r="G63" s="205"/>
    </row>
    <row r="64" spans="1:7" s="13" customFormat="1" ht="12.75">
      <c r="A64" s="209"/>
      <c r="B64" s="107"/>
      <c r="C64" s="118"/>
      <c r="D64" s="155"/>
      <c r="E64" s="107"/>
      <c r="F64" s="107"/>
      <c r="G64" s="210"/>
    </row>
    <row r="65" spans="1:7" s="13" customFormat="1" ht="12.75" customHeight="1">
      <c r="A65" s="209"/>
      <c r="B65" s="221" t="s">
        <v>15</v>
      </c>
      <c r="C65" s="221"/>
      <c r="D65" s="152"/>
      <c r="E65" s="119" t="s">
        <v>79</v>
      </c>
      <c r="F65" s="119"/>
      <c r="G65" s="210"/>
    </row>
    <row r="66" spans="1:7" s="6" customFormat="1" ht="12.75" customHeight="1">
      <c r="A66" s="209"/>
      <c r="B66" s="221"/>
      <c r="C66" s="221"/>
      <c r="D66" s="152"/>
      <c r="E66" s="119"/>
      <c r="F66" s="119"/>
      <c r="G66" s="210"/>
    </row>
    <row r="67" spans="1:7" s="6" customFormat="1" ht="12.75" customHeight="1">
      <c r="A67" s="209"/>
      <c r="B67" s="193"/>
      <c r="C67" s="193"/>
      <c r="D67" s="152"/>
      <c r="E67" s="119"/>
      <c r="F67" s="119"/>
      <c r="G67" s="210"/>
    </row>
    <row r="68" spans="1:7" s="6" customFormat="1" ht="12.75" customHeight="1">
      <c r="A68" s="209"/>
      <c r="B68" s="193"/>
      <c r="C68" s="193"/>
      <c r="D68" s="152"/>
      <c r="E68" s="119"/>
      <c r="F68" s="119"/>
      <c r="G68" s="210"/>
    </row>
    <row r="69" spans="1:7" s="6" customFormat="1" ht="12.75" customHeight="1">
      <c r="A69" s="209"/>
      <c r="B69" s="218" t="s">
        <v>222</v>
      </c>
      <c r="C69" s="217"/>
      <c r="D69" s="219" t="s">
        <v>40</v>
      </c>
      <c r="E69" s="236"/>
      <c r="F69" s="220"/>
      <c r="G69" s="211"/>
    </row>
    <row r="70" spans="1:7" s="6" customFormat="1" ht="13.5" customHeight="1">
      <c r="A70" s="209"/>
      <c r="B70" s="224" t="s">
        <v>223</v>
      </c>
      <c r="C70" s="225"/>
      <c r="D70" s="224" t="s">
        <v>226</v>
      </c>
      <c r="E70" s="226"/>
      <c r="F70" s="225"/>
      <c r="G70" s="212"/>
    </row>
    <row r="71" spans="1:7" s="6" customFormat="1" ht="12" customHeight="1">
      <c r="A71" s="213"/>
      <c r="B71" s="227" t="s">
        <v>248</v>
      </c>
      <c r="C71" s="228"/>
      <c r="D71" s="227" t="s">
        <v>231</v>
      </c>
      <c r="E71" s="229"/>
      <c r="F71" s="228"/>
      <c r="G71" s="214"/>
    </row>
    <row r="72" spans="1:7" ht="20.25" customHeight="1">
      <c r="A72" s="7"/>
      <c r="B72" s="230">
        <v>25</v>
      </c>
      <c r="C72" s="231"/>
      <c r="D72" s="231"/>
      <c r="E72" s="231"/>
      <c r="F72" s="231"/>
      <c r="G72" s="231"/>
    </row>
    <row r="73" spans="1:7" ht="20.25">
      <c r="A73" s="215"/>
      <c r="B73" s="237" t="s">
        <v>67</v>
      </c>
      <c r="C73" s="237"/>
      <c r="D73" s="237"/>
      <c r="E73" s="237"/>
      <c r="F73" s="237"/>
      <c r="G73" s="216"/>
    </row>
    <row r="74" spans="1:7" ht="18">
      <c r="A74" s="191"/>
      <c r="B74" s="235" t="s">
        <v>68</v>
      </c>
      <c r="C74" s="235"/>
      <c r="D74" s="235"/>
      <c r="E74" s="235"/>
      <c r="F74" s="235"/>
      <c r="G74" s="205"/>
    </row>
    <row r="75" spans="1:7" ht="18">
      <c r="A75" s="191"/>
      <c r="B75" s="196"/>
      <c r="C75" s="196"/>
      <c r="D75" s="144"/>
      <c r="E75" s="196"/>
      <c r="F75" s="196"/>
      <c r="G75" s="205"/>
    </row>
    <row r="76" spans="1:7" ht="18">
      <c r="A76" s="191"/>
      <c r="B76" s="196"/>
      <c r="C76" s="196"/>
      <c r="D76" s="144"/>
      <c r="E76" s="196"/>
      <c r="F76" s="196"/>
      <c r="G76" s="205"/>
    </row>
    <row r="77" spans="1:7" ht="15.75">
      <c r="A77" s="191"/>
      <c r="B77" s="232" t="s">
        <v>245</v>
      </c>
      <c r="C77" s="232"/>
      <c r="D77" s="232"/>
      <c r="E77" s="232"/>
      <c r="F77" s="232"/>
      <c r="G77" s="205"/>
    </row>
    <row r="78" spans="1:7" ht="15.75">
      <c r="A78" s="191"/>
      <c r="B78" s="232" t="s">
        <v>81</v>
      </c>
      <c r="C78" s="232"/>
      <c r="D78" s="232"/>
      <c r="E78" s="232"/>
      <c r="F78" s="232"/>
      <c r="G78" s="205"/>
    </row>
    <row r="79" spans="1:7" ht="12.75">
      <c r="A79" s="191"/>
      <c r="B79" s="105"/>
      <c r="C79" s="102"/>
      <c r="D79" s="149"/>
      <c r="E79" s="102"/>
      <c r="F79" s="102"/>
      <c r="G79" s="205"/>
    </row>
    <row r="80" spans="1:7" ht="15" customHeight="1">
      <c r="A80" s="191"/>
      <c r="B80" s="103" t="s">
        <v>28</v>
      </c>
      <c r="C80" s="102" t="s">
        <v>27</v>
      </c>
      <c r="D80" s="153" t="s">
        <v>29</v>
      </c>
      <c r="E80" s="104"/>
      <c r="F80" s="103" t="s">
        <v>30</v>
      </c>
      <c r="G80" s="206"/>
    </row>
    <row r="81" spans="1:7" ht="12.75">
      <c r="A81" s="191"/>
      <c r="B81" s="105"/>
      <c r="C81" s="102"/>
      <c r="D81" s="149"/>
      <c r="E81" s="102"/>
      <c r="F81" s="102"/>
      <c r="G81" s="205"/>
    </row>
    <row r="82" spans="1:7" ht="12.75">
      <c r="A82" s="191"/>
      <c r="B82" s="113"/>
      <c r="C82" s="99"/>
      <c r="D82" s="147"/>
      <c r="E82" s="99"/>
      <c r="F82" s="99"/>
      <c r="G82" s="205"/>
    </row>
    <row r="83" spans="1:7" ht="12.75">
      <c r="A83" s="191"/>
      <c r="B83" s="113"/>
      <c r="C83" s="99"/>
      <c r="D83" s="147"/>
      <c r="E83" s="99"/>
      <c r="F83" s="99"/>
      <c r="G83" s="205"/>
    </row>
    <row r="84" spans="1:7" ht="12.75">
      <c r="A84" s="191"/>
      <c r="B84" s="113"/>
      <c r="C84" s="99"/>
      <c r="D84" s="147"/>
      <c r="E84" s="99"/>
      <c r="F84" s="99"/>
      <c r="G84" s="205"/>
    </row>
    <row r="85" spans="1:7" ht="12.75">
      <c r="A85" s="191"/>
      <c r="B85" s="113"/>
      <c r="C85" s="99"/>
      <c r="D85" s="147"/>
      <c r="E85" s="99"/>
      <c r="F85" s="99"/>
      <c r="G85" s="205"/>
    </row>
    <row r="86" spans="1:7" ht="12.75">
      <c r="A86" s="191"/>
      <c r="B86" s="105"/>
      <c r="C86" s="102"/>
      <c r="D86" s="149"/>
      <c r="E86" s="99"/>
      <c r="F86" s="102"/>
      <c r="G86" s="205"/>
    </row>
    <row r="87" spans="1:7" ht="12.75">
      <c r="A87" s="191"/>
      <c r="B87" s="195" t="s">
        <v>0</v>
      </c>
      <c r="C87" s="99"/>
      <c r="D87" s="177">
        <v>317868341.34999996</v>
      </c>
      <c r="E87" s="99"/>
      <c r="F87" s="179">
        <v>99.3235021533215</v>
      </c>
      <c r="G87" s="205"/>
    </row>
    <row r="88" spans="1:7" ht="12.75">
      <c r="A88" s="191"/>
      <c r="B88" s="105"/>
      <c r="C88" s="102"/>
      <c r="D88" s="149"/>
      <c r="E88" s="99"/>
      <c r="F88" s="102"/>
      <c r="G88" s="205"/>
    </row>
    <row r="89" spans="1:7" ht="12.75">
      <c r="A89" s="191"/>
      <c r="B89" s="113"/>
      <c r="C89" s="99"/>
      <c r="D89" s="147"/>
      <c r="E89" s="99"/>
      <c r="F89" s="99"/>
      <c r="G89" s="205"/>
    </row>
    <row r="90" spans="1:7" ht="12.75">
      <c r="A90" s="191"/>
      <c r="B90" s="113"/>
      <c r="C90" s="99"/>
      <c r="D90" s="147"/>
      <c r="E90" s="99"/>
      <c r="F90" s="99"/>
      <c r="G90" s="205"/>
    </row>
    <row r="91" spans="1:7" ht="15" customHeight="1">
      <c r="A91" s="192"/>
      <c r="B91" s="120" t="s">
        <v>1</v>
      </c>
      <c r="C91" s="102"/>
      <c r="D91" s="149"/>
      <c r="E91" s="107"/>
      <c r="F91" s="107"/>
      <c r="G91" s="207"/>
    </row>
    <row r="92" spans="1:7" ht="12.75">
      <c r="A92" s="192"/>
      <c r="B92" s="107"/>
      <c r="C92" s="102"/>
      <c r="D92" s="149"/>
      <c r="E92" s="107"/>
      <c r="F92" s="107"/>
      <c r="G92" s="207"/>
    </row>
    <row r="93" spans="1:7" ht="12.75">
      <c r="A93" s="192"/>
      <c r="B93" s="157" t="s">
        <v>218</v>
      </c>
      <c r="C93" s="102"/>
      <c r="D93" s="173">
        <v>1068450.35</v>
      </c>
      <c r="E93" s="107"/>
      <c r="F93" s="174">
        <v>0.3338559297482619</v>
      </c>
      <c r="G93" s="207"/>
    </row>
    <row r="94" spans="1:7" ht="12.75">
      <c r="A94" s="192"/>
      <c r="B94" s="157" t="s">
        <v>238</v>
      </c>
      <c r="C94" s="102"/>
      <c r="D94" s="173">
        <v>0</v>
      </c>
      <c r="E94" s="107"/>
      <c r="F94" s="174">
        <v>0</v>
      </c>
      <c r="G94" s="207"/>
    </row>
    <row r="95" spans="1:7" ht="12.75">
      <c r="A95" s="192"/>
      <c r="B95" s="157" t="s">
        <v>197</v>
      </c>
      <c r="C95" s="102"/>
      <c r="D95" s="175">
        <v>1096568.45</v>
      </c>
      <c r="E95" s="107"/>
      <c r="F95" s="178">
        <v>0.3426419200549285</v>
      </c>
      <c r="G95" s="207"/>
    </row>
    <row r="96" spans="1:7" s="6" customFormat="1" ht="12.75">
      <c r="A96" s="192"/>
      <c r="B96" s="107"/>
      <c r="C96" s="102"/>
      <c r="D96" s="155"/>
      <c r="E96" s="107"/>
      <c r="F96" s="107"/>
      <c r="G96" s="207"/>
    </row>
    <row r="97" spans="1:7" ht="12.75">
      <c r="A97" s="192"/>
      <c r="B97" s="107" t="s">
        <v>71</v>
      </c>
      <c r="C97" s="102"/>
      <c r="D97" s="149"/>
      <c r="E97" s="107"/>
      <c r="F97" s="107"/>
      <c r="G97" s="207"/>
    </row>
    <row r="98" spans="1:7" ht="15" customHeight="1">
      <c r="A98" s="192"/>
      <c r="B98" s="180" t="s">
        <v>43</v>
      </c>
      <c r="C98" s="102"/>
      <c r="D98" s="176">
        <v>2165018.8</v>
      </c>
      <c r="E98" s="113"/>
      <c r="F98" s="158">
        <v>0.6764978498031904</v>
      </c>
      <c r="G98" s="207"/>
    </row>
    <row r="99" spans="1:7" ht="12.75">
      <c r="A99" s="191"/>
      <c r="B99" s="105" t="s">
        <v>27</v>
      </c>
      <c r="C99" s="102"/>
      <c r="D99" s="149" t="s">
        <v>27</v>
      </c>
      <c r="E99" s="102"/>
      <c r="F99" s="102" t="s">
        <v>27</v>
      </c>
      <c r="G99" s="205"/>
    </row>
    <row r="100" spans="1:7" ht="15" customHeight="1">
      <c r="A100" s="191"/>
      <c r="B100" s="181" t="s">
        <v>17</v>
      </c>
      <c r="C100" s="102"/>
      <c r="D100" s="182">
        <v>320033360.15</v>
      </c>
      <c r="E100" s="107"/>
      <c r="F100" s="182">
        <v>100.00000000312468</v>
      </c>
      <c r="G100" s="205"/>
    </row>
    <row r="101" spans="1:7" ht="15" customHeight="1">
      <c r="A101" s="191"/>
      <c r="B101" s="103"/>
      <c r="C101" s="102"/>
      <c r="D101" s="154"/>
      <c r="E101" s="107"/>
      <c r="F101" s="121"/>
      <c r="G101" s="205"/>
    </row>
    <row r="102" spans="1:7" ht="12.75">
      <c r="A102" s="191"/>
      <c r="B102" s="107"/>
      <c r="C102" s="102"/>
      <c r="D102" s="149"/>
      <c r="E102" s="107"/>
      <c r="F102" s="102"/>
      <c r="G102" s="208"/>
    </row>
    <row r="103" spans="1:7" ht="15">
      <c r="A103" s="192"/>
      <c r="B103" s="103"/>
      <c r="C103" s="102"/>
      <c r="D103" s="154"/>
      <c r="E103" s="107"/>
      <c r="F103" s="121"/>
      <c r="G103" s="205"/>
    </row>
    <row r="104" spans="1:10" ht="12.75">
      <c r="A104" s="192"/>
      <c r="B104" s="157" t="s">
        <v>25</v>
      </c>
      <c r="C104" s="102"/>
      <c r="D104" s="173">
        <v>-0.010000050067901611</v>
      </c>
      <c r="E104" s="107"/>
      <c r="F104" s="157">
        <v>-3.145972331105886E-09</v>
      </c>
      <c r="G104" s="205"/>
      <c r="I104" s="4"/>
      <c r="J104" s="4"/>
    </row>
    <row r="105" spans="1:9" ht="12.75">
      <c r="A105" s="192"/>
      <c r="B105" s="157" t="s">
        <v>26</v>
      </c>
      <c r="C105" s="102"/>
      <c r="D105" s="173">
        <v>0</v>
      </c>
      <c r="E105" s="107"/>
      <c r="F105" s="157">
        <v>0</v>
      </c>
      <c r="G105" s="205"/>
      <c r="I105" s="4"/>
    </row>
    <row r="106" spans="1:7" ht="12.75">
      <c r="A106" s="192"/>
      <c r="B106" s="107"/>
      <c r="C106" s="102"/>
      <c r="D106" s="155"/>
      <c r="E106" s="107"/>
      <c r="F106" s="107"/>
      <c r="G106" s="205"/>
    </row>
    <row r="107" spans="1:7" ht="13.5" thickBot="1">
      <c r="A107" s="191"/>
      <c r="B107" s="181" t="s">
        <v>52</v>
      </c>
      <c r="C107" s="102"/>
      <c r="D107" s="183">
        <v>-0.010000050067901611</v>
      </c>
      <c r="E107" s="107"/>
      <c r="F107" s="184">
        <v>-3.145972331105886E-09</v>
      </c>
      <c r="G107" s="205"/>
    </row>
    <row r="108" spans="1:10" ht="13.5" thickTop="1">
      <c r="A108" s="191"/>
      <c r="B108" s="107"/>
      <c r="C108" s="102"/>
      <c r="D108" s="149"/>
      <c r="E108" s="107"/>
      <c r="F108" s="102"/>
      <c r="G108" s="205"/>
      <c r="J108" s="4"/>
    </row>
    <row r="109" spans="1:7" ht="13.5" thickBot="1">
      <c r="A109" s="191"/>
      <c r="B109" s="181" t="s">
        <v>82</v>
      </c>
      <c r="C109" s="102"/>
      <c r="D109" s="183">
        <v>-0.010000050067901611</v>
      </c>
      <c r="E109" s="107"/>
      <c r="F109" s="185"/>
      <c r="G109" s="205"/>
    </row>
    <row r="110" spans="1:7" ht="12.75" customHeight="1" thickTop="1">
      <c r="A110" s="191"/>
      <c r="B110" s="107"/>
      <c r="C110" s="102"/>
      <c r="D110" s="149"/>
      <c r="E110" s="102"/>
      <c r="F110" s="102"/>
      <c r="G110" s="205"/>
    </row>
    <row r="111" spans="1:7" s="6" customFormat="1" ht="12.75" customHeight="1">
      <c r="A111" s="191"/>
      <c r="B111" s="113"/>
      <c r="C111" s="102"/>
      <c r="D111" s="154"/>
      <c r="E111" s="107"/>
      <c r="F111" s="122"/>
      <c r="G111" s="205"/>
    </row>
    <row r="112" spans="1:9" s="6" customFormat="1" ht="12.75" customHeight="1">
      <c r="A112" s="191"/>
      <c r="B112" s="113"/>
      <c r="C112" s="102"/>
      <c r="D112" s="154"/>
      <c r="E112" s="107"/>
      <c r="F112" s="122"/>
      <c r="G112" s="205"/>
      <c r="I112" s="9"/>
    </row>
    <row r="113" spans="1:9" ht="12.75" customHeight="1">
      <c r="A113" s="191"/>
      <c r="B113" s="113"/>
      <c r="C113" s="102"/>
      <c r="D113" s="154"/>
      <c r="E113" s="107"/>
      <c r="F113" s="122"/>
      <c r="G113" s="205"/>
      <c r="I113" s="4"/>
    </row>
    <row r="114" spans="1:7" ht="12.75" customHeight="1">
      <c r="A114" s="191"/>
      <c r="B114" s="123" t="s">
        <v>215</v>
      </c>
      <c r="C114" s="102"/>
      <c r="D114" s="154"/>
      <c r="E114" s="107"/>
      <c r="F114" s="122"/>
      <c r="G114" s="205"/>
    </row>
    <row r="115" spans="1:7" ht="12.75" customHeight="1">
      <c r="A115" s="191"/>
      <c r="B115" s="123" t="s">
        <v>214</v>
      </c>
      <c r="C115" s="102"/>
      <c r="D115" s="154"/>
      <c r="E115" s="107"/>
      <c r="F115" s="122"/>
      <c r="G115" s="205"/>
    </row>
    <row r="116" spans="1:7" ht="12.75" customHeight="1">
      <c r="A116" s="191"/>
      <c r="B116" s="113"/>
      <c r="C116" s="102"/>
      <c r="D116" s="154"/>
      <c r="E116" s="107"/>
      <c r="F116" s="122"/>
      <c r="G116" s="205"/>
    </row>
    <row r="117" spans="1:7" ht="12.75" customHeight="1">
      <c r="A117" s="191"/>
      <c r="B117" s="113"/>
      <c r="C117" s="102"/>
      <c r="D117" s="154"/>
      <c r="E117" s="107"/>
      <c r="F117" s="122"/>
      <c r="G117" s="205"/>
    </row>
    <row r="118" spans="1:7" ht="12.75" customHeight="1">
      <c r="A118" s="191"/>
      <c r="B118" s="113"/>
      <c r="C118" s="102"/>
      <c r="D118" s="154"/>
      <c r="E118" s="107"/>
      <c r="F118" s="122"/>
      <c r="G118" s="205"/>
    </row>
    <row r="119" spans="1:7" ht="12.75" customHeight="1">
      <c r="A119" s="191"/>
      <c r="B119" s="113"/>
      <c r="C119" s="102"/>
      <c r="D119" s="154"/>
      <c r="E119" s="107"/>
      <c r="F119" s="122"/>
      <c r="G119" s="205"/>
    </row>
    <row r="120" spans="1:7" ht="12.75" customHeight="1">
      <c r="A120" s="191"/>
      <c r="B120" s="113"/>
      <c r="C120" s="102"/>
      <c r="D120" s="154"/>
      <c r="E120" s="107"/>
      <c r="F120" s="122"/>
      <c r="G120" s="205"/>
    </row>
    <row r="121" spans="1:7" s="7" customFormat="1" ht="12.75" customHeight="1">
      <c r="A121" s="209"/>
      <c r="B121" s="223" t="s">
        <v>3</v>
      </c>
      <c r="C121" s="223"/>
      <c r="D121" s="223"/>
      <c r="E121" s="223"/>
      <c r="F121" s="223"/>
      <c r="G121" s="205"/>
    </row>
    <row r="122" spans="1:7" s="7" customFormat="1" ht="12.75" customHeight="1">
      <c r="A122" s="209"/>
      <c r="B122" s="194"/>
      <c r="C122" s="118"/>
      <c r="D122" s="151"/>
      <c r="E122" s="194"/>
      <c r="F122" s="194"/>
      <c r="G122" s="205"/>
    </row>
    <row r="123" spans="1:7" s="7" customFormat="1" ht="12.75" customHeight="1">
      <c r="A123" s="209"/>
      <c r="B123" s="194"/>
      <c r="C123" s="118"/>
      <c r="D123" s="151"/>
      <c r="E123" s="194"/>
      <c r="F123" s="194"/>
      <c r="G123" s="205"/>
    </row>
    <row r="124" spans="1:7" s="7" customFormat="1" ht="12.75" customHeight="1">
      <c r="A124" s="209"/>
      <c r="B124" s="194"/>
      <c r="C124" s="118"/>
      <c r="D124" s="151"/>
      <c r="E124" s="194"/>
      <c r="F124" s="194"/>
      <c r="G124" s="205"/>
    </row>
    <row r="125" spans="1:7" s="7" customFormat="1" ht="12.75" customHeight="1">
      <c r="A125" s="209"/>
      <c r="B125" s="194"/>
      <c r="C125" s="118"/>
      <c r="D125" s="151"/>
      <c r="E125" s="194"/>
      <c r="F125" s="194"/>
      <c r="G125" s="205"/>
    </row>
    <row r="126" spans="1:9" s="7" customFormat="1" ht="15.75" customHeight="1">
      <c r="A126" s="209"/>
      <c r="B126" s="194"/>
      <c r="C126" s="118"/>
      <c r="D126" s="151"/>
      <c r="E126" s="194"/>
      <c r="F126" s="194"/>
      <c r="G126" s="205"/>
      <c r="H126" s="13"/>
      <c r="I126" s="13"/>
    </row>
    <row r="127" spans="1:7" s="7" customFormat="1" ht="19.5" customHeight="1">
      <c r="A127" s="209"/>
      <c r="B127" s="222" t="s">
        <v>234</v>
      </c>
      <c r="C127" s="223"/>
      <c r="D127" s="223"/>
      <c r="E127" s="223"/>
      <c r="F127" s="223"/>
      <c r="G127" s="205"/>
    </row>
    <row r="128" spans="1:7" s="7" customFormat="1" ht="12" customHeight="1">
      <c r="A128" s="209"/>
      <c r="B128" s="222" t="s">
        <v>22</v>
      </c>
      <c r="C128" s="223"/>
      <c r="D128" s="223"/>
      <c r="E128" s="223"/>
      <c r="F128" s="223"/>
      <c r="G128" s="205"/>
    </row>
    <row r="129" spans="1:7" s="13" customFormat="1" ht="12.75">
      <c r="A129" s="209"/>
      <c r="B129" s="107"/>
      <c r="C129" s="118"/>
      <c r="D129" s="155"/>
      <c r="E129" s="107"/>
      <c r="F129" s="107"/>
      <c r="G129" s="210"/>
    </row>
    <row r="130" spans="1:7" s="13" customFormat="1" ht="12.75">
      <c r="A130" s="209"/>
      <c r="B130" s="107"/>
      <c r="C130" s="118"/>
      <c r="D130" s="155"/>
      <c r="E130" s="107"/>
      <c r="F130" s="107"/>
      <c r="G130" s="210"/>
    </row>
    <row r="131" spans="1:7" s="13" customFormat="1" ht="12.75">
      <c r="A131" s="209"/>
      <c r="B131" s="107"/>
      <c r="C131" s="118"/>
      <c r="D131" s="155"/>
      <c r="E131" s="107"/>
      <c r="F131" s="107"/>
      <c r="G131" s="210"/>
    </row>
    <row r="132" spans="1:7" s="13" customFormat="1" ht="12.75" customHeight="1">
      <c r="A132" s="209"/>
      <c r="B132" s="221" t="s">
        <v>15</v>
      </c>
      <c r="C132" s="221"/>
      <c r="D132" s="152"/>
      <c r="E132" s="119" t="s">
        <v>79</v>
      </c>
      <c r="F132" s="119"/>
      <c r="G132" s="210"/>
    </row>
    <row r="133" spans="1:7" s="13" customFormat="1" ht="12.75" customHeight="1">
      <c r="A133" s="209"/>
      <c r="B133" s="193"/>
      <c r="C133" s="193"/>
      <c r="D133" s="152"/>
      <c r="E133" s="119"/>
      <c r="F133" s="119"/>
      <c r="G133" s="210"/>
    </row>
    <row r="134" spans="1:7" s="13" customFormat="1" ht="12.75" customHeight="1">
      <c r="A134" s="209"/>
      <c r="B134" s="193"/>
      <c r="C134" s="193"/>
      <c r="D134" s="152"/>
      <c r="E134" s="119"/>
      <c r="F134" s="119"/>
      <c r="G134" s="210"/>
    </row>
    <row r="135" spans="1:7" s="6" customFormat="1" ht="12.75" customHeight="1">
      <c r="A135" s="209"/>
      <c r="B135" s="221"/>
      <c r="C135" s="221"/>
      <c r="D135" s="152"/>
      <c r="E135" s="119"/>
      <c r="F135" s="119"/>
      <c r="G135" s="210"/>
    </row>
    <row r="136" spans="1:7" s="6" customFormat="1" ht="12.75" customHeight="1">
      <c r="A136" s="209"/>
      <c r="B136" s="193"/>
      <c r="C136" s="193"/>
      <c r="D136" s="152"/>
      <c r="E136" s="119"/>
      <c r="F136" s="119"/>
      <c r="G136" s="210"/>
    </row>
    <row r="137" spans="1:7" s="6" customFormat="1" ht="12.75" customHeight="1">
      <c r="A137" s="209"/>
      <c r="B137" s="193"/>
      <c r="C137" s="193"/>
      <c r="D137" s="152"/>
      <c r="E137" s="119"/>
      <c r="F137" s="119"/>
      <c r="G137" s="210"/>
    </row>
    <row r="138" spans="1:7" s="6" customFormat="1" ht="12.75" customHeight="1">
      <c r="A138" s="209"/>
      <c r="B138" s="218" t="s">
        <v>222</v>
      </c>
      <c r="C138" s="217"/>
      <c r="D138" s="219" t="s">
        <v>40</v>
      </c>
      <c r="E138" s="236"/>
      <c r="F138" s="220"/>
      <c r="G138" s="211"/>
    </row>
    <row r="139" spans="1:7" s="6" customFormat="1" ht="13.5" customHeight="1">
      <c r="A139" s="209"/>
      <c r="B139" s="224" t="s">
        <v>223</v>
      </c>
      <c r="C139" s="225"/>
      <c r="D139" s="224" t="s">
        <v>226</v>
      </c>
      <c r="E139" s="226"/>
      <c r="F139" s="225"/>
      <c r="G139" s="212"/>
    </row>
    <row r="140" spans="1:7" s="6" customFormat="1" ht="12" customHeight="1">
      <c r="A140" s="213"/>
      <c r="B140" s="227" t="s">
        <v>248</v>
      </c>
      <c r="C140" s="228"/>
      <c r="D140" s="227" t="s">
        <v>231</v>
      </c>
      <c r="E140" s="229"/>
      <c r="F140" s="228"/>
      <c r="G140" s="214"/>
    </row>
    <row r="141" spans="1:7" ht="20.25" customHeight="1">
      <c r="A141" s="7"/>
      <c r="B141" s="230">
        <v>26</v>
      </c>
      <c r="C141" s="231"/>
      <c r="D141" s="231"/>
      <c r="E141" s="231"/>
      <c r="F141" s="231"/>
      <c r="G141" s="231"/>
    </row>
  </sheetData>
  <sheetProtection/>
  <mergeCells count="32">
    <mergeCell ref="B66:C66"/>
    <mergeCell ref="D69:F69"/>
    <mergeCell ref="B59:F59"/>
    <mergeCell ref="B73:F73"/>
    <mergeCell ref="B132:C132"/>
    <mergeCell ref="B135:C135"/>
    <mergeCell ref="B138:C138"/>
    <mergeCell ref="D138:F138"/>
    <mergeCell ref="B71:C71"/>
    <mergeCell ref="B74:F74"/>
    <mergeCell ref="D71:F71"/>
    <mergeCell ref="B72:G72"/>
    <mergeCell ref="B141:G141"/>
    <mergeCell ref="B77:F77"/>
    <mergeCell ref="B78:F78"/>
    <mergeCell ref="B2:F2"/>
    <mergeCell ref="B7:F7"/>
    <mergeCell ref="B70:C70"/>
    <mergeCell ref="B69:C69"/>
    <mergeCell ref="D70:F70"/>
    <mergeCell ref="B3:F3"/>
    <mergeCell ref="B6:F6"/>
    <mergeCell ref="B139:C139"/>
    <mergeCell ref="D139:F139"/>
    <mergeCell ref="B140:C140"/>
    <mergeCell ref="D140:F140"/>
    <mergeCell ref="B62:F62"/>
    <mergeCell ref="B63:F63"/>
    <mergeCell ref="B65:C65"/>
    <mergeCell ref="B121:F121"/>
    <mergeCell ref="B127:F127"/>
    <mergeCell ref="B128:F128"/>
  </mergeCells>
  <printOptions horizontalCentered="1"/>
  <pageMargins left="0" right="0" top="0.1968503937007874" bottom="0" header="0" footer="0.1968503937007874"/>
  <pageSetup horizontalDpi="600" verticalDpi="600" orientation="portrait" scale="83" r:id="rId2"/>
  <rowBreaks count="1" manualBreakCount="1">
    <brk id="7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02"/>
  <sheetViews>
    <sheetView showGridLines="0" zoomScale="70" zoomScaleNormal="70" zoomScalePageLayoutView="0" workbookViewId="0" topLeftCell="A8">
      <pane xSplit="13" ySplit="15" topLeftCell="Y23" activePane="bottomRight" state="frozen"/>
      <selection pane="topLeft" activeCell="A8" sqref="A8"/>
      <selection pane="topRight" activeCell="N8" sqref="N8"/>
      <selection pane="bottomLeft" activeCell="A23" sqref="A23"/>
      <selection pane="bottomRight" activeCell="AB23" sqref="AB23"/>
    </sheetView>
  </sheetViews>
  <sheetFormatPr defaultColWidth="14.7109375" defaultRowHeight="12.75"/>
  <cols>
    <col min="1" max="1" width="1.421875" style="8" customWidth="1"/>
    <col min="2" max="2" width="8.8515625" style="8" bestFit="1" customWidth="1"/>
    <col min="3" max="3" width="67.00390625" style="8" bestFit="1" customWidth="1"/>
    <col min="4" max="4" width="17.8515625" style="8" bestFit="1" customWidth="1"/>
    <col min="5" max="5" width="18.00390625" style="8" customWidth="1"/>
    <col min="6" max="12" width="16.57421875" style="8" hidden="1" customWidth="1"/>
    <col min="13" max="13" width="17.7109375" style="8" hidden="1" customWidth="1"/>
    <col min="14" max="14" width="16.57421875" style="8" hidden="1" customWidth="1"/>
    <col min="15" max="15" width="17.7109375" style="8" hidden="1" customWidth="1"/>
    <col min="16" max="16" width="16.57421875" style="8" hidden="1" customWidth="1"/>
    <col min="17" max="17" width="17.7109375" style="8" hidden="1" customWidth="1"/>
    <col min="18" max="18" width="16.57421875" style="8" hidden="1" customWidth="1"/>
    <col min="19" max="19" width="17.8515625" style="8" hidden="1" customWidth="1"/>
    <col min="20" max="20" width="16.57421875" style="8" hidden="1" customWidth="1"/>
    <col min="21" max="21" width="17.8515625" style="8" hidden="1" customWidth="1"/>
    <col min="22" max="22" width="16.7109375" style="8" hidden="1" customWidth="1"/>
    <col min="23" max="23" width="17.8515625" style="8" hidden="1" customWidth="1"/>
    <col min="24" max="24" width="16.57421875" style="8" hidden="1" customWidth="1"/>
    <col min="25" max="25" width="17.8515625" style="8" hidden="1" customWidth="1"/>
    <col min="26" max="26" width="16.57421875" style="8" hidden="1" customWidth="1"/>
    <col min="27" max="27" width="17.8515625" style="8" hidden="1" customWidth="1"/>
    <col min="28" max="28" width="16.57421875" style="8" customWidth="1"/>
    <col min="29" max="29" width="17.8515625" style="8" customWidth="1"/>
    <col min="30" max="30" width="20.140625" style="35" bestFit="1" customWidth="1"/>
    <col min="31" max="31" width="21.28125" style="8" customWidth="1"/>
    <col min="32" max="32" width="14.7109375" style="8" customWidth="1"/>
    <col min="33" max="33" width="3.57421875" style="8" bestFit="1" customWidth="1"/>
    <col min="34" max="34" width="12.57421875" style="8" bestFit="1" customWidth="1"/>
    <col min="35" max="35" width="13.28125" style="8" bestFit="1" customWidth="1"/>
    <col min="36" max="37" width="3.57421875" style="8" bestFit="1" customWidth="1"/>
    <col min="38" max="38" width="13.28125" style="8" bestFit="1" customWidth="1"/>
    <col min="39" max="39" width="13.140625" style="8" bestFit="1" customWidth="1"/>
    <col min="40" max="40" width="3.57421875" style="8" bestFit="1" customWidth="1"/>
    <col min="41" max="41" width="2.421875" style="8" bestFit="1" customWidth="1"/>
    <col min="42" max="43" width="12.57421875" style="8" bestFit="1" customWidth="1"/>
    <col min="44" max="45" width="3.57421875" style="8" bestFit="1" customWidth="1"/>
    <col min="46" max="46" width="13.28125" style="8" bestFit="1" customWidth="1"/>
    <col min="47" max="47" width="14.28125" style="8" bestFit="1" customWidth="1"/>
    <col min="48" max="48" width="14.7109375" style="8" customWidth="1"/>
    <col min="49" max="49" width="3.57421875" style="8" bestFit="1" customWidth="1"/>
    <col min="50" max="50" width="11.57421875" style="8" bestFit="1" customWidth="1"/>
    <col min="51" max="16384" width="14.7109375" style="8" customWidth="1"/>
  </cols>
  <sheetData>
    <row r="1" spans="1:30" ht="15.75">
      <c r="A1" s="29"/>
      <c r="B1" s="241" t="s">
        <v>67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3"/>
    </row>
    <row r="2" spans="1:30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</row>
    <row r="3" spans="1:30" ht="18" customHeight="1">
      <c r="A3" s="31" t="s">
        <v>27</v>
      </c>
      <c r="B3" s="238" t="s">
        <v>68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40"/>
    </row>
    <row r="4" spans="1:30" ht="18" customHeight="1">
      <c r="A4" s="3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1"/>
    </row>
    <row r="5" spans="1:30" ht="18" customHeight="1">
      <c r="A5" s="31"/>
      <c r="B5" s="238" t="s">
        <v>235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40"/>
    </row>
    <row r="6" spans="1:30" ht="15.75">
      <c r="A6" s="31"/>
      <c r="B6" s="29"/>
      <c r="C6" s="32"/>
      <c r="D6" s="29"/>
      <c r="E6" s="29"/>
      <c r="F6" s="33"/>
      <c r="G6" s="33"/>
      <c r="H6" s="33"/>
      <c r="I6" s="33"/>
      <c r="J6" s="3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1:5" ht="15">
      <c r="A7" s="31"/>
      <c r="E7" s="24"/>
    </row>
    <row r="8" spans="1:30" ht="14.25" customHeight="1">
      <c r="A8" s="29"/>
      <c r="B8" s="36"/>
      <c r="C8" s="37"/>
      <c r="D8" s="28"/>
      <c r="E8" s="34" t="s">
        <v>48</v>
      </c>
      <c r="F8" s="38"/>
      <c r="G8" s="39" t="s">
        <v>48</v>
      </c>
      <c r="H8" s="38"/>
      <c r="I8" s="39" t="s">
        <v>48</v>
      </c>
      <c r="J8" s="38"/>
      <c r="K8" s="39" t="s">
        <v>48</v>
      </c>
      <c r="L8" s="40"/>
      <c r="M8" s="39" t="s">
        <v>48</v>
      </c>
      <c r="N8" s="40"/>
      <c r="O8" s="39" t="s">
        <v>48</v>
      </c>
      <c r="P8" s="40"/>
      <c r="Q8" s="39" t="s">
        <v>48</v>
      </c>
      <c r="R8" s="40"/>
      <c r="S8" s="39" t="s">
        <v>48</v>
      </c>
      <c r="T8" s="40"/>
      <c r="U8" s="39" t="s">
        <v>48</v>
      </c>
      <c r="V8" s="40"/>
      <c r="W8" s="39" t="s">
        <v>48</v>
      </c>
      <c r="X8" s="40"/>
      <c r="Y8" s="39" t="s">
        <v>48</v>
      </c>
      <c r="Z8" s="40"/>
      <c r="AA8" s="39" t="s">
        <v>48</v>
      </c>
      <c r="AB8" s="40"/>
      <c r="AC8" s="39" t="s">
        <v>48</v>
      </c>
      <c r="AD8" s="41"/>
    </row>
    <row r="9" spans="1:30" ht="15.75">
      <c r="A9" s="42"/>
      <c r="B9" s="38" t="s">
        <v>50</v>
      </c>
      <c r="C9" s="39" t="s">
        <v>73</v>
      </c>
      <c r="D9" s="34" t="s">
        <v>4</v>
      </c>
      <c r="E9" s="34" t="s">
        <v>80</v>
      </c>
      <c r="F9" s="39" t="s">
        <v>48</v>
      </c>
      <c r="G9" s="38" t="s">
        <v>74</v>
      </c>
      <c r="H9" s="39" t="s">
        <v>48</v>
      </c>
      <c r="I9" s="38" t="s">
        <v>56</v>
      </c>
      <c r="J9" s="39" t="s">
        <v>48</v>
      </c>
      <c r="K9" s="38" t="s">
        <v>54</v>
      </c>
      <c r="L9" s="39" t="s">
        <v>48</v>
      </c>
      <c r="M9" s="38" t="s">
        <v>57</v>
      </c>
      <c r="N9" s="39" t="s">
        <v>48</v>
      </c>
      <c r="O9" s="38" t="s">
        <v>58</v>
      </c>
      <c r="P9" s="39" t="s">
        <v>48</v>
      </c>
      <c r="Q9" s="38" t="s">
        <v>59</v>
      </c>
      <c r="R9" s="39" t="s">
        <v>48</v>
      </c>
      <c r="S9" s="38" t="s">
        <v>60</v>
      </c>
      <c r="T9" s="39" t="s">
        <v>48</v>
      </c>
      <c r="U9" s="38" t="s">
        <v>61</v>
      </c>
      <c r="V9" s="39" t="s">
        <v>48</v>
      </c>
      <c r="W9" s="38" t="s">
        <v>62</v>
      </c>
      <c r="X9" s="39" t="s">
        <v>48</v>
      </c>
      <c r="Y9" s="38" t="s">
        <v>63</v>
      </c>
      <c r="Z9" s="39" t="s">
        <v>48</v>
      </c>
      <c r="AA9" s="38" t="s">
        <v>64</v>
      </c>
      <c r="AB9" s="39" t="s">
        <v>48</v>
      </c>
      <c r="AC9" s="38" t="s">
        <v>65</v>
      </c>
      <c r="AD9" s="43" t="s">
        <v>49</v>
      </c>
    </row>
    <row r="10" spans="1:30" ht="15.75">
      <c r="A10" s="44"/>
      <c r="B10" s="45"/>
      <c r="C10" s="45"/>
      <c r="D10" s="46" t="s">
        <v>69</v>
      </c>
      <c r="E10" s="47" t="s">
        <v>65</v>
      </c>
      <c r="F10" s="46" t="s">
        <v>74</v>
      </c>
      <c r="G10" s="46" t="s">
        <v>29</v>
      </c>
      <c r="H10" s="46" t="s">
        <v>75</v>
      </c>
      <c r="I10" s="46" t="s">
        <v>29</v>
      </c>
      <c r="J10" s="46" t="s">
        <v>76</v>
      </c>
      <c r="K10" s="46" t="s">
        <v>29</v>
      </c>
      <c r="L10" s="47" t="s">
        <v>57</v>
      </c>
      <c r="M10" s="46" t="s">
        <v>29</v>
      </c>
      <c r="N10" s="47" t="s">
        <v>58</v>
      </c>
      <c r="O10" s="46" t="s">
        <v>29</v>
      </c>
      <c r="P10" s="47" t="s">
        <v>59</v>
      </c>
      <c r="Q10" s="46" t="s">
        <v>29</v>
      </c>
      <c r="R10" s="47" t="s">
        <v>60</v>
      </c>
      <c r="S10" s="46" t="s">
        <v>29</v>
      </c>
      <c r="T10" s="47" t="s">
        <v>61</v>
      </c>
      <c r="U10" s="46" t="s">
        <v>29</v>
      </c>
      <c r="V10" s="47" t="s">
        <v>62</v>
      </c>
      <c r="W10" s="46" t="s">
        <v>29</v>
      </c>
      <c r="X10" s="47" t="s">
        <v>63</v>
      </c>
      <c r="Y10" s="46" t="s">
        <v>29</v>
      </c>
      <c r="Z10" s="47" t="s">
        <v>64</v>
      </c>
      <c r="AA10" s="46" t="s">
        <v>29</v>
      </c>
      <c r="AB10" s="47" t="s">
        <v>65</v>
      </c>
      <c r="AC10" s="46" t="s">
        <v>29</v>
      </c>
      <c r="AD10" s="125" t="s">
        <v>70</v>
      </c>
    </row>
    <row r="11" spans="1:31" ht="15.75">
      <c r="A11" s="29"/>
      <c r="B11" s="48"/>
      <c r="C11" s="49" t="s">
        <v>20</v>
      </c>
      <c r="D11" s="50">
        <f>+D23+D53+D103</f>
        <v>231095501.48000002</v>
      </c>
      <c r="E11" s="50">
        <f aca="true" t="shared" si="0" ref="E11:AD11">+E23+E53+E103</f>
        <v>317868341.34000003</v>
      </c>
      <c r="F11" s="50">
        <f t="shared" si="0"/>
        <v>16733228</v>
      </c>
      <c r="G11" s="50">
        <f t="shared" si="0"/>
        <v>16733228</v>
      </c>
      <c r="H11" s="50">
        <f t="shared" si="0"/>
        <v>19522101.2</v>
      </c>
      <c r="I11" s="50">
        <f t="shared" si="0"/>
        <v>36255329.2</v>
      </c>
      <c r="J11" s="50">
        <f t="shared" si="0"/>
        <v>18816697.72</v>
      </c>
      <c r="K11" s="50">
        <f t="shared" si="0"/>
        <v>55072026.92</v>
      </c>
      <c r="L11" s="50">
        <f t="shared" si="0"/>
        <v>55878720.269999996</v>
      </c>
      <c r="M11" s="50">
        <f t="shared" si="0"/>
        <v>110950747.19</v>
      </c>
      <c r="N11" s="50">
        <f t="shared" si="0"/>
        <v>33939402.370000005</v>
      </c>
      <c r="O11" s="50">
        <f t="shared" si="0"/>
        <v>144890149.56</v>
      </c>
      <c r="P11" s="50">
        <f t="shared" si="0"/>
        <v>18127664.599999998</v>
      </c>
      <c r="Q11" s="50">
        <f t="shared" si="0"/>
        <v>163017814.15999997</v>
      </c>
      <c r="R11" s="50">
        <f t="shared" si="0"/>
        <v>18130664.599999998</v>
      </c>
      <c r="S11" s="50">
        <f t="shared" si="0"/>
        <v>181148478.76000002</v>
      </c>
      <c r="T11" s="50">
        <f t="shared" si="0"/>
        <v>18127664.6</v>
      </c>
      <c r="U11" s="50">
        <f t="shared" si="0"/>
        <v>199276143.35999995</v>
      </c>
      <c r="V11" s="50">
        <f t="shared" si="0"/>
        <v>39816945.67000001</v>
      </c>
      <c r="W11" s="50">
        <f t="shared" si="0"/>
        <v>239093089.03</v>
      </c>
      <c r="X11" s="50">
        <f t="shared" si="0"/>
        <v>3127664.5999999996</v>
      </c>
      <c r="Y11" s="50">
        <f t="shared" si="0"/>
        <v>242220753.63</v>
      </c>
      <c r="Z11" s="50">
        <f t="shared" si="0"/>
        <v>53714556.29000001</v>
      </c>
      <c r="AA11" s="50">
        <f t="shared" si="0"/>
        <v>295935309.9200001</v>
      </c>
      <c r="AB11" s="50">
        <f t="shared" si="0"/>
        <v>21933031.419999994</v>
      </c>
      <c r="AC11" s="50">
        <f t="shared" si="0"/>
        <v>317868341.3399999</v>
      </c>
      <c r="AD11" s="50">
        <f t="shared" si="0"/>
        <v>-7.275957614183426E-11</v>
      </c>
      <c r="AE11" s="15"/>
    </row>
    <row r="12" spans="1:32" ht="15.75">
      <c r="A12" s="29"/>
      <c r="B12" s="14"/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51"/>
      <c r="AE12" s="15"/>
      <c r="AF12" s="15"/>
    </row>
    <row r="13" spans="1:31" ht="15.75">
      <c r="A13" s="29"/>
      <c r="B13" s="52"/>
      <c r="C13" s="52" t="s">
        <v>21</v>
      </c>
      <c r="D13" s="53">
        <f>+D176</f>
        <v>3436474.5199999996</v>
      </c>
      <c r="E13" s="53">
        <f>+E176</f>
        <v>2165018.8</v>
      </c>
      <c r="F13" s="53">
        <f aca="true" t="shared" si="1" ref="F13:AC13">+F176</f>
        <v>0</v>
      </c>
      <c r="G13" s="53">
        <f>+G176</f>
        <v>0</v>
      </c>
      <c r="H13" s="53">
        <f t="shared" si="1"/>
        <v>0</v>
      </c>
      <c r="I13" s="53">
        <f>+I176</f>
        <v>0</v>
      </c>
      <c r="J13" s="53">
        <f t="shared" si="1"/>
        <v>310966.88</v>
      </c>
      <c r="K13" s="53">
        <f t="shared" si="1"/>
        <v>310966.88</v>
      </c>
      <c r="L13" s="53">
        <f>+L176</f>
        <v>248944.33</v>
      </c>
      <c r="M13" s="53">
        <f>+M176</f>
        <v>559911.21</v>
      </c>
      <c r="N13" s="53">
        <f>+N176</f>
        <v>1498981.16</v>
      </c>
      <c r="O13" s="53">
        <f>+O176</f>
        <v>2058892.3699999999</v>
      </c>
      <c r="P13" s="53">
        <f t="shared" si="1"/>
        <v>0</v>
      </c>
      <c r="Q13" s="53">
        <f t="shared" si="1"/>
        <v>2058892.3699999999</v>
      </c>
      <c r="R13" s="53">
        <f t="shared" si="1"/>
        <v>-3000</v>
      </c>
      <c r="S13" s="53">
        <f>+S176</f>
        <v>2055892.3699999999</v>
      </c>
      <c r="T13" s="53">
        <f>+T176</f>
        <v>0</v>
      </c>
      <c r="U13" s="53">
        <f>+U176</f>
        <v>2055892.3699999999</v>
      </c>
      <c r="V13" s="53">
        <f t="shared" si="1"/>
        <v>0</v>
      </c>
      <c r="W13" s="53">
        <f t="shared" si="1"/>
        <v>2055892.3699999999</v>
      </c>
      <c r="X13" s="53">
        <f t="shared" si="1"/>
        <v>0</v>
      </c>
      <c r="Y13" s="53">
        <f>+Y176</f>
        <v>2055892.3699999999</v>
      </c>
      <c r="Z13" s="53">
        <f t="shared" si="1"/>
        <v>413108.31</v>
      </c>
      <c r="AA13" s="53">
        <f>+AA176</f>
        <v>2469000.6799999997</v>
      </c>
      <c r="AB13" s="53">
        <f>+AB176</f>
        <v>-303981.88</v>
      </c>
      <c r="AC13" s="53">
        <f t="shared" si="1"/>
        <v>2165018.8</v>
      </c>
      <c r="AD13" s="53">
        <f>+AD176</f>
        <v>0</v>
      </c>
      <c r="AE13" s="15"/>
    </row>
    <row r="14" spans="1:32" ht="15.75">
      <c r="A14" s="29"/>
      <c r="B14" s="14"/>
      <c r="C14" s="1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5">
        <f>+E15-D15</f>
        <v>85501384.14000002</v>
      </c>
      <c r="AF14" s="15"/>
    </row>
    <row r="15" spans="1:34" ht="16.5" thickBot="1">
      <c r="A15" s="29"/>
      <c r="B15" s="54"/>
      <c r="C15" s="55" t="s">
        <v>72</v>
      </c>
      <c r="D15" s="56">
        <f>SUM(D11:D14)</f>
        <v>234531976.00000003</v>
      </c>
      <c r="E15" s="56">
        <f>SUM(E11:E14)</f>
        <v>320033360.14000005</v>
      </c>
      <c r="F15" s="56">
        <f aca="true" t="shared" si="2" ref="F15:AD15">SUM(F11:F14)</f>
        <v>16733228</v>
      </c>
      <c r="G15" s="56">
        <f t="shared" si="2"/>
        <v>16733228</v>
      </c>
      <c r="H15" s="56">
        <f t="shared" si="2"/>
        <v>19522101.2</v>
      </c>
      <c r="I15" s="56">
        <f t="shared" si="2"/>
        <v>36255329.2</v>
      </c>
      <c r="J15" s="56">
        <f t="shared" si="2"/>
        <v>19127664.599999998</v>
      </c>
      <c r="K15" s="56">
        <f t="shared" si="2"/>
        <v>55382993.800000004</v>
      </c>
      <c r="L15" s="56">
        <f>SUM(L11:L14)</f>
        <v>56127664.599999994</v>
      </c>
      <c r="M15" s="56">
        <f>SUM(M11:M14)</f>
        <v>111510658.39999999</v>
      </c>
      <c r="N15" s="56">
        <f t="shared" si="2"/>
        <v>35438383.53</v>
      </c>
      <c r="O15" s="56">
        <f t="shared" si="2"/>
        <v>146949041.93</v>
      </c>
      <c r="P15" s="56">
        <f t="shared" si="2"/>
        <v>18127664.599999998</v>
      </c>
      <c r="Q15" s="56">
        <f t="shared" si="2"/>
        <v>165076706.52999997</v>
      </c>
      <c r="R15" s="56">
        <f t="shared" si="2"/>
        <v>18127664.599999998</v>
      </c>
      <c r="S15" s="56">
        <f t="shared" si="2"/>
        <v>183204371.13000003</v>
      </c>
      <c r="T15" s="56">
        <f t="shared" si="2"/>
        <v>18127664.6</v>
      </c>
      <c r="U15" s="56">
        <f t="shared" si="2"/>
        <v>201332035.72999996</v>
      </c>
      <c r="V15" s="56">
        <f t="shared" si="2"/>
        <v>39816945.67000001</v>
      </c>
      <c r="W15" s="56">
        <f t="shared" si="2"/>
        <v>241148981.4</v>
      </c>
      <c r="X15" s="56">
        <f t="shared" si="2"/>
        <v>3127664.5999999996</v>
      </c>
      <c r="Y15" s="56">
        <f t="shared" si="2"/>
        <v>244276646</v>
      </c>
      <c r="Z15" s="56">
        <f t="shared" si="2"/>
        <v>54127664.60000001</v>
      </c>
      <c r="AA15" s="56">
        <f t="shared" si="2"/>
        <v>298404310.6000001</v>
      </c>
      <c r="AB15" s="56">
        <f t="shared" si="2"/>
        <v>21629049.539999995</v>
      </c>
      <c r="AC15" s="56">
        <f t="shared" si="2"/>
        <v>320033360.1399999</v>
      </c>
      <c r="AD15" s="56">
        <f t="shared" si="2"/>
        <v>-7.275957614183426E-11</v>
      </c>
      <c r="AE15" s="15"/>
      <c r="AH15" s="15"/>
    </row>
    <row r="16" spans="1:36" ht="16.5" thickTop="1">
      <c r="A16" s="29"/>
      <c r="B16" s="57">
        <v>4311</v>
      </c>
      <c r="C16" s="8" t="s">
        <v>86</v>
      </c>
      <c r="D16" s="15">
        <f>+AC16</f>
        <v>0</v>
      </c>
      <c r="E16" s="15">
        <f>+AC16</f>
        <v>0</v>
      </c>
      <c r="F16" s="18">
        <v>58241.49</v>
      </c>
      <c r="G16" s="58">
        <f>+F16</f>
        <v>58241.49</v>
      </c>
      <c r="H16" s="18">
        <v>53533.49</v>
      </c>
      <c r="I16" s="58">
        <f>+G16+H16</f>
        <v>111774.98</v>
      </c>
      <c r="J16" s="18">
        <v>72541.11</v>
      </c>
      <c r="K16" s="58">
        <f>+I16+J16</f>
        <v>184316.09</v>
      </c>
      <c r="L16" s="18">
        <v>78860.57</v>
      </c>
      <c r="M16" s="58">
        <f>+K16+L16</f>
        <v>263176.66000000003</v>
      </c>
      <c r="N16" s="18">
        <v>183522.74</v>
      </c>
      <c r="O16" s="58">
        <f>+M16+N16</f>
        <v>446699.4</v>
      </c>
      <c r="P16" s="18">
        <v>156889.76</v>
      </c>
      <c r="Q16" s="58">
        <f>+O16+P16</f>
        <v>603589.16</v>
      </c>
      <c r="R16" s="18">
        <v>124104.05</v>
      </c>
      <c r="S16" s="58">
        <f>+Q16+R16</f>
        <v>727693.2100000001</v>
      </c>
      <c r="T16" s="18">
        <v>136511.64</v>
      </c>
      <c r="U16" s="58">
        <f>+S16+T16</f>
        <v>864204.8500000001</v>
      </c>
      <c r="V16" s="18">
        <v>142331.07</v>
      </c>
      <c r="W16" s="58">
        <f>+U16+V16</f>
        <v>1006535.9200000002</v>
      </c>
      <c r="X16" s="18">
        <v>123158.33</v>
      </c>
      <c r="Y16" s="58">
        <f>+W16+X16</f>
        <v>1129694.2500000002</v>
      </c>
      <c r="Z16" s="18">
        <v>139554.74</v>
      </c>
      <c r="AA16" s="58">
        <f>+Y16+Z16</f>
        <v>1269248.9900000002</v>
      </c>
      <c r="AB16" s="188">
        <f>110765.08-1380014.07</f>
        <v>-1269248.99</v>
      </c>
      <c r="AC16" s="58">
        <f>+AA16+AB16</f>
        <v>0</v>
      </c>
      <c r="AD16" s="15">
        <f>+E16-AC16</f>
        <v>0</v>
      </c>
      <c r="AE16" s="98" t="s">
        <v>196</v>
      </c>
      <c r="AF16" s="98"/>
      <c r="AG16" s="98"/>
      <c r="AH16" s="98"/>
      <c r="AI16" s="98"/>
      <c r="AJ16" s="98"/>
    </row>
    <row r="17" spans="1:36" ht="15.75">
      <c r="A17" s="29"/>
      <c r="B17" s="57">
        <v>4399</v>
      </c>
      <c r="C17" s="8" t="s">
        <v>89</v>
      </c>
      <c r="D17" s="15">
        <f>+AC17</f>
        <v>0</v>
      </c>
      <c r="E17" s="15">
        <f>+AC17</f>
        <v>0</v>
      </c>
      <c r="F17" s="18">
        <f>69286.71-554.55</f>
        <v>68732.16</v>
      </c>
      <c r="G17" s="58">
        <f>+F17</f>
        <v>68732.16</v>
      </c>
      <c r="H17" s="18">
        <f>36645.51-1.6</f>
        <v>36643.91</v>
      </c>
      <c r="I17" s="58">
        <f>+G17+H17</f>
        <v>105376.07</v>
      </c>
      <c r="J17" s="18">
        <f>176400.48-1.58</f>
        <v>176398.90000000002</v>
      </c>
      <c r="K17" s="58">
        <f>+I17+J17</f>
        <v>281774.97000000003</v>
      </c>
      <c r="L17" s="18">
        <f>199949.29-27.01</f>
        <v>199922.28</v>
      </c>
      <c r="M17" s="58">
        <f>+K17+L17</f>
        <v>481697.25</v>
      </c>
      <c r="N17" s="18">
        <f>-0.96+341.42</f>
        <v>340.46000000000004</v>
      </c>
      <c r="O17" s="58">
        <f>+M17+N17</f>
        <v>482037.71</v>
      </c>
      <c r="P17" s="18">
        <f>6304.6-670.65</f>
        <v>5633.950000000001</v>
      </c>
      <c r="Q17" s="58">
        <f>+O17+P17</f>
        <v>487671.66000000003</v>
      </c>
      <c r="R17" s="18">
        <f>1286363.25-0.05</f>
        <v>1286363.2</v>
      </c>
      <c r="S17" s="58">
        <f>+Q17+R17</f>
        <v>1774034.8599999999</v>
      </c>
      <c r="T17" s="18">
        <f>-0.07+152.62</f>
        <v>152.55</v>
      </c>
      <c r="U17" s="58">
        <f>+S17+T17</f>
        <v>1774187.41</v>
      </c>
      <c r="V17" s="18">
        <f>-0.17+5702.16</f>
        <v>5701.99</v>
      </c>
      <c r="W17" s="58">
        <f>+U17+V17</f>
        <v>1779889.4</v>
      </c>
      <c r="X17" s="18">
        <f>19232.77-1.01</f>
        <v>19231.760000000002</v>
      </c>
      <c r="Y17" s="58">
        <f>+W17+X17</f>
        <v>1799121.16</v>
      </c>
      <c r="Z17" s="18">
        <f>1445.43-1.42</f>
        <v>1444.01</v>
      </c>
      <c r="AA17" s="58">
        <f>+Y17+Z17</f>
        <v>1800565.17</v>
      </c>
      <c r="AB17" s="188">
        <f>274304.9-2074870.07</f>
        <v>-1800565.17</v>
      </c>
      <c r="AC17" s="58">
        <f>+AA17+AB17</f>
        <v>0</v>
      </c>
      <c r="AD17" s="15">
        <f>+E17-AC17</f>
        <v>0</v>
      </c>
      <c r="AE17" s="98" t="s">
        <v>196</v>
      </c>
      <c r="AF17" s="98"/>
      <c r="AG17" s="98"/>
      <c r="AH17" s="98"/>
      <c r="AI17" s="98"/>
      <c r="AJ17" s="98"/>
    </row>
    <row r="18" spans="1:30" ht="15.75">
      <c r="A18" s="29"/>
      <c r="B18" s="57">
        <v>4326</v>
      </c>
      <c r="C18" s="14" t="s">
        <v>19</v>
      </c>
      <c r="D18" s="15">
        <f>+AC18</f>
        <v>0</v>
      </c>
      <c r="E18" s="15">
        <f>+AC18</f>
        <v>0</v>
      </c>
      <c r="F18" s="18">
        <v>0</v>
      </c>
      <c r="G18" s="58">
        <f>+F18</f>
        <v>0</v>
      </c>
      <c r="H18" s="18">
        <v>0</v>
      </c>
      <c r="I18" s="58">
        <f>+G18+H18</f>
        <v>0</v>
      </c>
      <c r="J18" s="18">
        <v>9000</v>
      </c>
      <c r="K18" s="58">
        <f>+I18+J18</f>
        <v>9000</v>
      </c>
      <c r="L18" s="18">
        <v>0</v>
      </c>
      <c r="M18" s="58">
        <f>+K18+L18</f>
        <v>9000</v>
      </c>
      <c r="N18" s="18">
        <v>0</v>
      </c>
      <c r="O18" s="58">
        <f>+M18+N18</f>
        <v>9000</v>
      </c>
      <c r="P18" s="18">
        <v>0</v>
      </c>
      <c r="Q18" s="58">
        <f>+O18+P18</f>
        <v>9000</v>
      </c>
      <c r="R18" s="18">
        <v>0</v>
      </c>
      <c r="S18" s="58">
        <f>+Q18+R18</f>
        <v>9000</v>
      </c>
      <c r="T18" s="18">
        <v>0</v>
      </c>
      <c r="U18" s="58">
        <f>+S18+T18</f>
        <v>9000</v>
      </c>
      <c r="V18" s="18">
        <v>0</v>
      </c>
      <c r="W18" s="58">
        <f>+U18+V18</f>
        <v>9000</v>
      </c>
      <c r="X18" s="18">
        <v>0</v>
      </c>
      <c r="Y18" s="58">
        <f>+W18+X18</f>
        <v>9000</v>
      </c>
      <c r="Z18" s="18">
        <v>37500</v>
      </c>
      <c r="AA18" s="58">
        <f>+Y18+Z18</f>
        <v>46500</v>
      </c>
      <c r="AB18" s="188">
        <v>-46500</v>
      </c>
      <c r="AC18" s="58">
        <f>+AA18+AB18</f>
        <v>0</v>
      </c>
      <c r="AD18" s="15">
        <f>+E18-AC18</f>
        <v>0</v>
      </c>
    </row>
    <row r="19" spans="1:30" ht="15">
      <c r="A19" s="29"/>
      <c r="B19" s="57">
        <v>4176</v>
      </c>
      <c r="C19" s="14" t="s">
        <v>18</v>
      </c>
      <c r="D19" s="15">
        <f>+AC19</f>
        <v>0</v>
      </c>
      <c r="E19" s="15">
        <f>+AC19</f>
        <v>0</v>
      </c>
      <c r="F19" s="18">
        <v>0</v>
      </c>
      <c r="G19" s="58">
        <f>+F19</f>
        <v>0</v>
      </c>
      <c r="H19" s="18">
        <v>0</v>
      </c>
      <c r="I19" s="58">
        <f>+G19+H19</f>
        <v>0</v>
      </c>
      <c r="J19" s="18">
        <v>0</v>
      </c>
      <c r="K19" s="58">
        <f>+I19+J19</f>
        <v>0</v>
      </c>
      <c r="L19" s="18">
        <v>0</v>
      </c>
      <c r="M19" s="58">
        <f>+K19+L19</f>
        <v>0</v>
      </c>
      <c r="N19" s="18">
        <v>0</v>
      </c>
      <c r="O19" s="58">
        <f>+M19+N19</f>
        <v>0</v>
      </c>
      <c r="P19" s="18">
        <v>0</v>
      </c>
      <c r="Q19" s="58">
        <f>+O19+P19</f>
        <v>0</v>
      </c>
      <c r="R19" s="18">
        <v>0</v>
      </c>
      <c r="S19" s="58">
        <f>+Q19+R19</f>
        <v>0</v>
      </c>
      <c r="T19" s="18">
        <v>0</v>
      </c>
      <c r="U19" s="58">
        <f>+S19+T19</f>
        <v>0</v>
      </c>
      <c r="V19" s="18">
        <v>0</v>
      </c>
      <c r="W19" s="58">
        <f>+U19+V19</f>
        <v>0</v>
      </c>
      <c r="X19" s="18">
        <v>0</v>
      </c>
      <c r="Y19" s="58">
        <f>+W19+X19</f>
        <v>0</v>
      </c>
      <c r="Z19" s="18">
        <v>0</v>
      </c>
      <c r="AA19" s="58">
        <f>+Y19+Z19</f>
        <v>0</v>
      </c>
      <c r="AB19" s="18">
        <v>0</v>
      </c>
      <c r="AC19" s="58">
        <f>+AA19+AB19</f>
        <v>0</v>
      </c>
      <c r="AD19" s="15">
        <f>+E19-AC19</f>
        <v>0</v>
      </c>
    </row>
    <row r="20" spans="1:29" ht="15">
      <c r="A20" s="29"/>
      <c r="B20" s="14"/>
      <c r="C20" s="59"/>
      <c r="D20" s="18"/>
      <c r="E20" s="18"/>
      <c r="F20" s="18"/>
      <c r="G20" s="58"/>
      <c r="H20" s="18"/>
      <c r="I20" s="58"/>
      <c r="J20" s="18"/>
      <c r="K20" s="58"/>
      <c r="L20" s="18"/>
      <c r="M20" s="58"/>
      <c r="N20" s="18"/>
      <c r="O20" s="58"/>
      <c r="P20" s="18"/>
      <c r="Q20" s="58"/>
      <c r="R20" s="18"/>
      <c r="S20" s="58"/>
      <c r="T20" s="18"/>
      <c r="U20" s="58"/>
      <c r="V20" s="18"/>
      <c r="W20" s="58"/>
      <c r="X20" s="18"/>
      <c r="Y20" s="58"/>
      <c r="Z20" s="18"/>
      <c r="AA20" s="58"/>
      <c r="AB20" s="18"/>
      <c r="AC20" s="58"/>
    </row>
    <row r="21" spans="1:30" ht="16.5" customHeight="1" thickBot="1">
      <c r="A21" s="29"/>
      <c r="B21" s="14"/>
      <c r="C21" s="55" t="s">
        <v>66</v>
      </c>
      <c r="D21" s="60">
        <f>SUM(D15:D19)</f>
        <v>234531976.00000003</v>
      </c>
      <c r="E21" s="60">
        <f>SUM(E15:E19)</f>
        <v>320033360.14000005</v>
      </c>
      <c r="F21" s="60">
        <f aca="true" t="shared" si="3" ref="F21:K21">SUM(F15:F19)</f>
        <v>16860201.65</v>
      </c>
      <c r="G21" s="60">
        <f t="shared" si="3"/>
        <v>16860201.65</v>
      </c>
      <c r="H21" s="60">
        <f t="shared" si="3"/>
        <v>19612278.599999998</v>
      </c>
      <c r="I21" s="60">
        <f t="shared" si="3"/>
        <v>36472480.25</v>
      </c>
      <c r="J21" s="60">
        <f t="shared" si="3"/>
        <v>19385604.609999996</v>
      </c>
      <c r="K21" s="60">
        <f t="shared" si="3"/>
        <v>55858084.86000001</v>
      </c>
      <c r="L21" s="60">
        <f>SUM(L15:L19)</f>
        <v>56406447.449999996</v>
      </c>
      <c r="M21" s="60">
        <f>SUM(M15:M20)</f>
        <v>112264532.30999999</v>
      </c>
      <c r="N21" s="60">
        <f aca="true" t="shared" si="4" ref="N21:AD21">SUM(N15:N19)</f>
        <v>35622246.730000004</v>
      </c>
      <c r="O21" s="60">
        <f t="shared" si="4"/>
        <v>147886779.04000002</v>
      </c>
      <c r="P21" s="60">
        <f t="shared" si="4"/>
        <v>18290188.31</v>
      </c>
      <c r="Q21" s="60">
        <f t="shared" si="4"/>
        <v>166176967.34999996</v>
      </c>
      <c r="R21" s="60">
        <f t="shared" si="4"/>
        <v>19538131.849999998</v>
      </c>
      <c r="S21" s="60">
        <f t="shared" si="4"/>
        <v>185715099.20000005</v>
      </c>
      <c r="T21" s="60">
        <f t="shared" si="4"/>
        <v>18264328.790000003</v>
      </c>
      <c r="U21" s="60">
        <f t="shared" si="4"/>
        <v>203979427.98999995</v>
      </c>
      <c r="V21" s="60">
        <f t="shared" si="4"/>
        <v>39964978.73000001</v>
      </c>
      <c r="W21" s="60">
        <f t="shared" si="4"/>
        <v>243944406.72</v>
      </c>
      <c r="X21" s="60">
        <f t="shared" si="4"/>
        <v>3270054.6899999995</v>
      </c>
      <c r="Y21" s="60">
        <f t="shared" si="4"/>
        <v>247214461.41</v>
      </c>
      <c r="Z21" s="60">
        <f t="shared" si="4"/>
        <v>54306163.35000001</v>
      </c>
      <c r="AA21" s="60">
        <f t="shared" si="4"/>
        <v>301520624.7600001</v>
      </c>
      <c r="AB21" s="60">
        <f t="shared" si="4"/>
        <v>18512735.379999995</v>
      </c>
      <c r="AC21" s="60">
        <f t="shared" si="4"/>
        <v>320033360.1399999</v>
      </c>
      <c r="AD21" s="60">
        <f t="shared" si="4"/>
        <v>-7.275957614183426E-11</v>
      </c>
    </row>
    <row r="22" spans="1:29" ht="15.75" thickTop="1">
      <c r="A22" s="29"/>
      <c r="B22" s="14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30" ht="16.5" thickBot="1">
      <c r="A23" s="29"/>
      <c r="B23" s="61">
        <v>1000</v>
      </c>
      <c r="C23" s="128" t="s">
        <v>31</v>
      </c>
      <c r="D23" s="62">
        <f>+D25+D28+D31+D37+D44</f>
        <v>193447316.53000003</v>
      </c>
      <c r="E23" s="62">
        <f>+E25+E28+E31+E37+E44</f>
        <v>278683053.41</v>
      </c>
      <c r="F23" s="62">
        <f aca="true" t="shared" si="5" ref="F23:AD23">+F25+F28+F31+F37+F44</f>
        <v>13985038.91</v>
      </c>
      <c r="G23" s="62">
        <f t="shared" si="5"/>
        <v>13985038.91</v>
      </c>
      <c r="H23" s="62">
        <f>+H25+H28+H31+H37+H44</f>
        <v>17886089.66</v>
      </c>
      <c r="I23" s="62">
        <f t="shared" si="5"/>
        <v>31871128.57</v>
      </c>
      <c r="J23" s="62">
        <f>+J25+J28+J31+J37+J44</f>
        <v>16306990.72</v>
      </c>
      <c r="K23" s="62">
        <f t="shared" si="5"/>
        <v>48178119.29</v>
      </c>
      <c r="L23" s="62">
        <f t="shared" si="5"/>
        <v>52291762.58</v>
      </c>
      <c r="M23" s="62">
        <f t="shared" si="5"/>
        <v>100469881.86999999</v>
      </c>
      <c r="N23" s="62">
        <f>+N25+N28+N31+N37+N44</f>
        <v>14624733.730000002</v>
      </c>
      <c r="O23" s="62">
        <f t="shared" si="5"/>
        <v>115094615.6</v>
      </c>
      <c r="P23" s="62">
        <f>+P25+P28+P31+P37+P44</f>
        <v>16674701.599999998</v>
      </c>
      <c r="Q23" s="62">
        <f t="shared" si="5"/>
        <v>131769317.19999999</v>
      </c>
      <c r="R23" s="62">
        <f t="shared" si="5"/>
        <v>15702655.549999999</v>
      </c>
      <c r="S23" s="62">
        <f t="shared" si="5"/>
        <v>147471972.75</v>
      </c>
      <c r="T23" s="62">
        <f>+T25+T28+T31+T37+T44</f>
        <v>16684513.530000001</v>
      </c>
      <c r="U23" s="62">
        <f t="shared" si="5"/>
        <v>164156486.27999997</v>
      </c>
      <c r="V23" s="62">
        <f>+V25+V28+V31+V37+V44</f>
        <v>37955269.43000001</v>
      </c>
      <c r="W23" s="62">
        <f t="shared" si="5"/>
        <v>202111755.70999998</v>
      </c>
      <c r="X23" s="62">
        <f t="shared" si="5"/>
        <v>1539528.44</v>
      </c>
      <c r="Y23" s="62">
        <f t="shared" si="5"/>
        <v>203651284.14999998</v>
      </c>
      <c r="Z23" s="62">
        <f>+Z25+Z28+Z31+Z37+Z44</f>
        <v>52565897.54000001</v>
      </c>
      <c r="AA23" s="62">
        <f t="shared" si="5"/>
        <v>256217181.69000003</v>
      </c>
      <c r="AB23" s="62">
        <f>+AB25+AB28+AB31+AB37+AB44</f>
        <v>22465871.719999995</v>
      </c>
      <c r="AC23" s="62">
        <f t="shared" si="5"/>
        <v>278683053.40999997</v>
      </c>
      <c r="AD23" s="62">
        <f t="shared" si="5"/>
        <v>0</v>
      </c>
    </row>
    <row r="24" spans="1:30" ht="16.5" thickTop="1">
      <c r="A24" s="29"/>
      <c r="B24" s="63"/>
      <c r="C24" s="6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65"/>
    </row>
    <row r="25" spans="1:30" ht="15.75">
      <c r="A25" s="29"/>
      <c r="B25" s="63">
        <v>1100</v>
      </c>
      <c r="C25" s="67" t="s">
        <v>169</v>
      </c>
      <c r="D25" s="68">
        <f>SUM(D26:D26)</f>
        <v>32732725.440000005</v>
      </c>
      <c r="E25" s="68">
        <f>SUM(E26:E26)</f>
        <v>33857507.42</v>
      </c>
      <c r="F25" s="68">
        <f aca="true" t="shared" si="6" ref="F25:AD25">SUM(F26:F26)</f>
        <v>2693327.12</v>
      </c>
      <c r="G25" s="68">
        <f t="shared" si="6"/>
        <v>2693327.12</v>
      </c>
      <c r="H25" s="68">
        <f t="shared" si="6"/>
        <v>2828727.12</v>
      </c>
      <c r="I25" s="68">
        <f t="shared" si="6"/>
        <v>5522054.24</v>
      </c>
      <c r="J25" s="68">
        <f t="shared" si="6"/>
        <v>2808727.12</v>
      </c>
      <c r="K25" s="68">
        <f t="shared" si="6"/>
        <v>8330781.36</v>
      </c>
      <c r="L25" s="68">
        <f t="shared" si="6"/>
        <v>8183181.36</v>
      </c>
      <c r="M25" s="68">
        <f t="shared" si="6"/>
        <v>16513962.72</v>
      </c>
      <c r="N25" s="68">
        <f t="shared" si="6"/>
        <v>1953427.12</v>
      </c>
      <c r="O25" s="68">
        <f t="shared" si="6"/>
        <v>18467389.84</v>
      </c>
      <c r="P25" s="68">
        <f t="shared" si="6"/>
        <v>1563819.61</v>
      </c>
      <c r="Q25" s="68">
        <f t="shared" si="6"/>
        <v>20031209.45</v>
      </c>
      <c r="R25" s="68">
        <f t="shared" si="6"/>
        <v>2727727.119999999</v>
      </c>
      <c r="S25" s="68">
        <f t="shared" si="6"/>
        <v>22758936.57</v>
      </c>
      <c r="T25" s="68">
        <f t="shared" si="6"/>
        <v>2393664.48</v>
      </c>
      <c r="U25" s="68">
        <f t="shared" si="6"/>
        <v>25152601.05</v>
      </c>
      <c r="V25" s="68">
        <f t="shared" si="6"/>
        <v>2419152.02</v>
      </c>
      <c r="W25" s="68">
        <f t="shared" si="6"/>
        <v>27571753.07</v>
      </c>
      <c r="X25" s="68">
        <f t="shared" si="6"/>
        <v>1482361.9400000002</v>
      </c>
      <c r="Y25" s="68">
        <f t="shared" si="6"/>
        <v>29054115.01</v>
      </c>
      <c r="Z25" s="68">
        <f t="shared" si="6"/>
        <v>2233229</v>
      </c>
      <c r="AA25" s="68">
        <f t="shared" si="6"/>
        <v>31287344.01</v>
      </c>
      <c r="AB25" s="68">
        <f t="shared" si="6"/>
        <v>2570163.4099999997</v>
      </c>
      <c r="AC25" s="68">
        <f t="shared" si="6"/>
        <v>33857507.42</v>
      </c>
      <c r="AD25" s="68">
        <f t="shared" si="6"/>
        <v>0</v>
      </c>
    </row>
    <row r="26" spans="1:31" ht="15.75">
      <c r="A26" s="29"/>
      <c r="B26" s="57">
        <v>1131</v>
      </c>
      <c r="C26" s="14" t="s">
        <v>90</v>
      </c>
      <c r="D26" s="18">
        <v>32732725.440000005</v>
      </c>
      <c r="E26" s="188">
        <f>32732725.44+108600-143000+101000+81000-811575.1-2655502-774300-1163907.51-315000-19062.64+503000+1410136.82+2233229+2686533.38-116369.97</f>
        <v>33857507.42</v>
      </c>
      <c r="F26" s="188">
        <f>2727727.12+108600-143000</f>
        <v>2693327.12</v>
      </c>
      <c r="G26" s="58">
        <f>+F26</f>
        <v>2693327.12</v>
      </c>
      <c r="H26" s="188">
        <f>2727727.12+101000</f>
        <v>2828727.12</v>
      </c>
      <c r="I26" s="58">
        <f>+G26+H26</f>
        <v>5522054.24</v>
      </c>
      <c r="J26" s="188">
        <f>2727727.12+81000</f>
        <v>2808727.12</v>
      </c>
      <c r="K26" s="58">
        <f>+I26+J26</f>
        <v>8330781.36</v>
      </c>
      <c r="L26" s="188">
        <f>2727727.12+2727727.12+2727727.12</f>
        <v>8183181.36</v>
      </c>
      <c r="M26" s="58">
        <f>+K26+L26</f>
        <v>16513962.72</v>
      </c>
      <c r="N26" s="188">
        <f>2727727.12-774300</f>
        <v>1953427.12</v>
      </c>
      <c r="O26" s="58">
        <f>+M26+N26</f>
        <v>18467389.84</v>
      </c>
      <c r="P26" s="188">
        <f>2727727.12-1163907.51</f>
        <v>1563819.61</v>
      </c>
      <c r="Q26" s="58">
        <f>+O26+P26</f>
        <v>20031209.45</v>
      </c>
      <c r="R26" s="18">
        <v>2727727.119999999</v>
      </c>
      <c r="S26" s="58">
        <f>+Q26+R26</f>
        <v>22758936.57</v>
      </c>
      <c r="T26" s="188">
        <f>2727727.12-315000-19062.64</f>
        <v>2393664.48</v>
      </c>
      <c r="U26" s="58">
        <f>+S26+T26</f>
        <v>25152601.05</v>
      </c>
      <c r="V26" s="188">
        <f>2727727.12-811575.1+503000</f>
        <v>2419152.02</v>
      </c>
      <c r="W26" s="58">
        <f>+U26+V26</f>
        <v>27571753.07</v>
      </c>
      <c r="X26" s="188">
        <f>2727727.12-2655502+1410136.82</f>
        <v>1482361.9400000002</v>
      </c>
      <c r="Y26" s="58">
        <f>+W26+X26</f>
        <v>29054115.01</v>
      </c>
      <c r="Z26" s="188">
        <f>2727727.12-2727727.12+2233229</f>
        <v>2233229</v>
      </c>
      <c r="AA26" s="58">
        <f>+Y26+Z26</f>
        <v>31287344.01</v>
      </c>
      <c r="AB26" s="188">
        <f>2727727.12-2727727.12+2686533.38-116369.97</f>
        <v>2570163.4099999997</v>
      </c>
      <c r="AC26" s="15">
        <f>+AA26+AB26</f>
        <v>33857507.42</v>
      </c>
      <c r="AD26" s="15">
        <f>+E26-AC26</f>
        <v>0</v>
      </c>
      <c r="AE26" s="15"/>
    </row>
    <row r="27" spans="1:29" ht="15">
      <c r="A27" s="2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30" ht="15.75">
      <c r="A28" s="29"/>
      <c r="B28" s="69">
        <v>1200</v>
      </c>
      <c r="C28" s="67" t="s">
        <v>170</v>
      </c>
      <c r="D28" s="68">
        <f aca="true" t="shared" si="7" ref="D28:AD28">SUM(D29:D29)</f>
        <v>5038758.53</v>
      </c>
      <c r="E28" s="68">
        <f t="shared" si="7"/>
        <v>8318541.030000001</v>
      </c>
      <c r="F28" s="68">
        <f t="shared" si="7"/>
        <v>398620.28</v>
      </c>
      <c r="G28" s="68">
        <f t="shared" si="7"/>
        <v>398620.28</v>
      </c>
      <c r="H28" s="68">
        <f t="shared" si="7"/>
        <v>481590.28</v>
      </c>
      <c r="I28" s="68">
        <f t="shared" si="7"/>
        <v>880210.56</v>
      </c>
      <c r="J28" s="68">
        <f t="shared" si="7"/>
        <v>424964.25</v>
      </c>
      <c r="K28" s="68">
        <f t="shared" si="7"/>
        <v>1305174.81</v>
      </c>
      <c r="L28" s="68">
        <f t="shared" si="7"/>
        <v>2009446.01</v>
      </c>
      <c r="M28" s="68">
        <f t="shared" si="7"/>
        <v>3314620.8200000003</v>
      </c>
      <c r="N28" s="68">
        <f t="shared" si="7"/>
        <v>579633.3400000001</v>
      </c>
      <c r="O28" s="68">
        <f t="shared" si="7"/>
        <v>3894254.16</v>
      </c>
      <c r="P28" s="68">
        <f t="shared" si="7"/>
        <v>-151534.78000000003</v>
      </c>
      <c r="Q28" s="68">
        <f t="shared" si="7"/>
        <v>3742719.38</v>
      </c>
      <c r="R28" s="68">
        <f t="shared" si="7"/>
        <v>539232.16</v>
      </c>
      <c r="S28" s="68">
        <f t="shared" si="7"/>
        <v>4281951.54</v>
      </c>
      <c r="T28" s="68">
        <f t="shared" si="7"/>
        <v>531590.28</v>
      </c>
      <c r="U28" s="68">
        <f t="shared" si="7"/>
        <v>4813541.82</v>
      </c>
      <c r="V28" s="68">
        <f t="shared" si="7"/>
        <v>628555.47</v>
      </c>
      <c r="W28" s="68">
        <f t="shared" si="7"/>
        <v>5442097.29</v>
      </c>
      <c r="X28" s="68">
        <f t="shared" si="7"/>
        <v>559874.81</v>
      </c>
      <c r="Y28" s="68">
        <f t="shared" si="7"/>
        <v>6001972.1</v>
      </c>
      <c r="Z28" s="68">
        <f t="shared" si="7"/>
        <v>905866.21</v>
      </c>
      <c r="AA28" s="68">
        <f t="shared" si="7"/>
        <v>6907838.31</v>
      </c>
      <c r="AB28" s="68">
        <f t="shared" si="7"/>
        <v>1410702.72</v>
      </c>
      <c r="AC28" s="68">
        <f t="shared" si="7"/>
        <v>8318541.029999999</v>
      </c>
      <c r="AD28" s="68">
        <f t="shared" si="7"/>
        <v>0</v>
      </c>
    </row>
    <row r="29" spans="1:31" ht="15.75">
      <c r="A29" s="29"/>
      <c r="B29" s="57">
        <v>1211</v>
      </c>
      <c r="C29" s="14" t="s">
        <v>190</v>
      </c>
      <c r="D29" s="18">
        <v>5038758.53</v>
      </c>
      <c r="E29" s="188">
        <f>5038758.53+245092.89-208062.89+231092.89-111092.89+174466.86-111092.89+225000-361590.28+218043.06+286874.94-800000+177641.88+170000+266965.19+559874.81+905866.21+1934233.41-400189.26-123341.43</f>
        <v>8318541.030000001</v>
      </c>
      <c r="F29" s="188">
        <f>361590.28+245092.89-208062.89</f>
        <v>398620.28</v>
      </c>
      <c r="G29" s="58">
        <f>+F29</f>
        <v>398620.28</v>
      </c>
      <c r="H29" s="188">
        <f>361590.28+231092.89-111092.89</f>
        <v>481590.28</v>
      </c>
      <c r="I29" s="58">
        <f>+G29+H29</f>
        <v>880210.56</v>
      </c>
      <c r="J29" s="188">
        <f>361590.28+174466.86-111092.89</f>
        <v>424964.25</v>
      </c>
      <c r="K29" s="58">
        <f>+I29+J29</f>
        <v>1305174.81</v>
      </c>
      <c r="L29" s="188">
        <f>361590.28+225000+361590.28+1061265.45</f>
        <v>2009446.01</v>
      </c>
      <c r="M29" s="58">
        <f>+K29+L29</f>
        <v>3314620.8200000003</v>
      </c>
      <c r="N29" s="188">
        <f>361590.28+218043.06</f>
        <v>579633.3400000001</v>
      </c>
      <c r="O29" s="58">
        <f>+M29+N29</f>
        <v>3894254.16</v>
      </c>
      <c r="P29" s="188">
        <f>361590.28+286874.94-800000</f>
        <v>-151534.78000000003</v>
      </c>
      <c r="Q29" s="58">
        <f>+O29+P29</f>
        <v>3742719.38</v>
      </c>
      <c r="R29" s="188">
        <f>361590.28+177641.88</f>
        <v>539232.16</v>
      </c>
      <c r="S29" s="58">
        <f>+Q29+R29</f>
        <v>4281951.54</v>
      </c>
      <c r="T29" s="188">
        <f>361590.28+170000</f>
        <v>531590.28</v>
      </c>
      <c r="U29" s="58">
        <f>+S29+T29</f>
        <v>4813541.82</v>
      </c>
      <c r="V29" s="188">
        <f>361590.28+266965.19</f>
        <v>628555.47</v>
      </c>
      <c r="W29" s="58">
        <f>+U29+V29</f>
        <v>5442097.29</v>
      </c>
      <c r="X29" s="188">
        <f>361590.28-361590.28+559874.81</f>
        <v>559874.81</v>
      </c>
      <c r="Y29" s="58">
        <f>+W29+X29</f>
        <v>6001972.1</v>
      </c>
      <c r="Z29" s="188">
        <f>361590.28-361590.28+905866.21</f>
        <v>905866.21</v>
      </c>
      <c r="AA29" s="58">
        <f>+Y29+Z29</f>
        <v>6907838.31</v>
      </c>
      <c r="AB29" s="188">
        <f>1061265.45-1061265.45+1934233.41-400189.26-123341.43</f>
        <v>1410702.72</v>
      </c>
      <c r="AC29" s="15">
        <f>+AA29+AB29</f>
        <v>8318541.029999999</v>
      </c>
      <c r="AD29" s="15">
        <f>+E29-AC29</f>
        <v>0</v>
      </c>
      <c r="AE29" s="15"/>
    </row>
    <row r="30" spans="1:29" ht="15">
      <c r="A30" s="2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30" ht="15.75">
      <c r="A31" s="29"/>
      <c r="B31" s="69">
        <v>1300</v>
      </c>
      <c r="C31" s="67" t="s">
        <v>12</v>
      </c>
      <c r="D31" s="70">
        <f>SUM(D32:D35)</f>
        <v>23987064.840000004</v>
      </c>
      <c r="E31" s="70">
        <f>SUM(E32:E35)</f>
        <v>36101103.41</v>
      </c>
      <c r="F31" s="70">
        <f>SUM(F32:F35)</f>
        <v>15630.95</v>
      </c>
      <c r="G31" s="70">
        <f aca="true" t="shared" si="8" ref="G31:AC31">SUM(G32:G35)</f>
        <v>15630.95</v>
      </c>
      <c r="H31" s="70">
        <f>SUM(H32:H35)</f>
        <v>3791444.8600000003</v>
      </c>
      <c r="I31" s="70">
        <f t="shared" si="8"/>
        <v>3807075.81</v>
      </c>
      <c r="J31" s="70">
        <f>SUM(J32:J35)</f>
        <v>2243609.3400000003</v>
      </c>
      <c r="K31" s="70">
        <f t="shared" si="8"/>
        <v>6050685.15</v>
      </c>
      <c r="L31" s="70">
        <f>SUM(L32:L35)</f>
        <v>4892886.07</v>
      </c>
      <c r="M31" s="70">
        <f t="shared" si="8"/>
        <v>10943571.22</v>
      </c>
      <c r="N31" s="70">
        <f>SUM(N32:N35)</f>
        <v>-6520658.239999999</v>
      </c>
      <c r="O31" s="70">
        <f t="shared" si="8"/>
        <v>4422912.980000001</v>
      </c>
      <c r="P31" s="70">
        <f>SUM(P32:P35)</f>
        <v>25610.28000000023</v>
      </c>
      <c r="Q31" s="70">
        <f t="shared" si="8"/>
        <v>4448523.260000002</v>
      </c>
      <c r="R31" s="70">
        <f>SUM(R32:R35)</f>
        <v>1838274.1699999997</v>
      </c>
      <c r="S31" s="70">
        <f t="shared" si="8"/>
        <v>6286797.430000002</v>
      </c>
      <c r="T31" s="70">
        <f>SUM(T32:T35)</f>
        <v>2450694.790000001</v>
      </c>
      <c r="U31" s="70">
        <f t="shared" si="8"/>
        <v>8737492.220000003</v>
      </c>
      <c r="V31" s="70">
        <f>SUM(V32:V35)</f>
        <v>1529840.74</v>
      </c>
      <c r="W31" s="70">
        <f t="shared" si="8"/>
        <v>10267332.960000003</v>
      </c>
      <c r="X31" s="70">
        <f>SUM(X32:X35)</f>
        <v>-3304688.88</v>
      </c>
      <c r="Y31" s="70">
        <f t="shared" si="8"/>
        <v>6962644.080000002</v>
      </c>
      <c r="Z31" s="70">
        <f>SUM(Z32:Z35)</f>
        <v>163136.89</v>
      </c>
      <c r="AA31" s="70">
        <f t="shared" si="8"/>
        <v>7125780.9700000025</v>
      </c>
      <c r="AB31" s="70">
        <f>SUM(AB32:AB35)</f>
        <v>28975322.439999998</v>
      </c>
      <c r="AC31" s="70">
        <f t="shared" si="8"/>
        <v>36101103.41</v>
      </c>
      <c r="AD31" s="70">
        <f>SUM(AD32:AD35)</f>
        <v>0</v>
      </c>
    </row>
    <row r="32" spans="1:31" ht="15.75">
      <c r="A32" s="29"/>
      <c r="B32" s="57">
        <v>1311</v>
      </c>
      <c r="C32" s="26" t="s">
        <v>91</v>
      </c>
      <c r="D32" s="18">
        <v>20651.4</v>
      </c>
      <c r="E32" s="188">
        <f>20651.4+11910+10500+500+1000+82.5+110+400.32-16023.22</f>
        <v>29131</v>
      </c>
      <c r="F32" s="188">
        <f>1720.95+11910</f>
        <v>13630.95</v>
      </c>
      <c r="G32" s="58">
        <f>+F32</f>
        <v>13630.95</v>
      </c>
      <c r="H32" s="18">
        <v>1720.95</v>
      </c>
      <c r="I32" s="58">
        <f>+G32+H32</f>
        <v>15351.900000000001</v>
      </c>
      <c r="J32" s="18">
        <v>1720.95</v>
      </c>
      <c r="K32" s="58">
        <f>+I32+J32</f>
        <v>17072.850000000002</v>
      </c>
      <c r="L32" s="188">
        <f>1720.95+10500+1720.95+1720.95</f>
        <v>15662.850000000002</v>
      </c>
      <c r="M32" s="58">
        <f>+K32+L32</f>
        <v>32735.700000000004</v>
      </c>
      <c r="N32" s="18">
        <v>1720.95</v>
      </c>
      <c r="O32" s="58">
        <f>+M32+N32</f>
        <v>34456.65</v>
      </c>
      <c r="P32" s="18">
        <v>1720.95</v>
      </c>
      <c r="Q32" s="58">
        <f>+O32+P32</f>
        <v>36177.6</v>
      </c>
      <c r="R32" s="18">
        <v>1720.95</v>
      </c>
      <c r="S32" s="58">
        <f>+Q32+R32</f>
        <v>37898.549999999996</v>
      </c>
      <c r="T32" s="188">
        <f>1720.95+500</f>
        <v>2220.95</v>
      </c>
      <c r="U32" s="58">
        <f>+S32+T32</f>
        <v>40119.49999999999</v>
      </c>
      <c r="V32" s="188">
        <f>1720.95+1000</f>
        <v>2720.95</v>
      </c>
      <c r="W32" s="58">
        <f>+U32+V32</f>
        <v>42840.44999999999</v>
      </c>
      <c r="X32" s="188">
        <f>1720.95+82.5</f>
        <v>1803.45</v>
      </c>
      <c r="Y32" s="58">
        <f>+W32+X32</f>
        <v>44643.89999999999</v>
      </c>
      <c r="Z32" s="188">
        <f>1720.95-1720.95+110</f>
        <v>110</v>
      </c>
      <c r="AA32" s="58">
        <f>+Y32+Z32</f>
        <v>44753.89999999999</v>
      </c>
      <c r="AB32" s="188">
        <f>400.32-16023.22</f>
        <v>-15622.9</v>
      </c>
      <c r="AC32" s="15">
        <f>+AA32+AB32</f>
        <v>29130.999999999985</v>
      </c>
      <c r="AD32" s="15">
        <f>+E32-AC32</f>
        <v>0</v>
      </c>
      <c r="AE32" s="15"/>
    </row>
    <row r="33" spans="1:31" ht="15.75">
      <c r="A33" s="29"/>
      <c r="B33" s="57">
        <v>1321</v>
      </c>
      <c r="C33" s="14" t="s">
        <v>92</v>
      </c>
      <c r="D33" s="18">
        <v>3065133.1199999996</v>
      </c>
      <c r="E33" s="188">
        <f>3065133.12+2000+21000+217993.91+12818.84-150000-190000+139440.33-194157.95</f>
        <v>2924228.25</v>
      </c>
      <c r="F33" s="188">
        <f>0+2000</f>
        <v>2000</v>
      </c>
      <c r="G33" s="58">
        <f>+F33</f>
        <v>2000</v>
      </c>
      <c r="H33" s="188">
        <f>0+21000</f>
        <v>21000</v>
      </c>
      <c r="I33" s="58">
        <f>+G33+H33</f>
        <v>23000</v>
      </c>
      <c r="J33" s="18">
        <v>0</v>
      </c>
      <c r="K33" s="58">
        <f>+I33+J33</f>
        <v>23000</v>
      </c>
      <c r="L33" s="188">
        <f>0+1532566.56</f>
        <v>1532566.56</v>
      </c>
      <c r="M33" s="58">
        <f>+K33+L33</f>
        <v>1555566.56</v>
      </c>
      <c r="N33" s="188">
        <f>0+217993.91</f>
        <v>217993.91</v>
      </c>
      <c r="O33" s="58">
        <f>+M33+N33</f>
        <v>1773560.47</v>
      </c>
      <c r="P33" s="188">
        <f>0+12818.84-150000</f>
        <v>-137181.16</v>
      </c>
      <c r="Q33" s="58">
        <f>+O33+P33</f>
        <v>1636379.31</v>
      </c>
      <c r="R33" s="18">
        <v>1532566.5599999998</v>
      </c>
      <c r="S33" s="58">
        <f>+Q33+R33</f>
        <v>3168945.87</v>
      </c>
      <c r="T33" s="188">
        <f>0-190000</f>
        <v>-190000</v>
      </c>
      <c r="U33" s="58">
        <f>+S33+T33</f>
        <v>2978945.87</v>
      </c>
      <c r="V33" s="18">
        <v>0</v>
      </c>
      <c r="W33" s="58">
        <f>+U33+V33</f>
        <v>2978945.87</v>
      </c>
      <c r="X33" s="18">
        <v>0</v>
      </c>
      <c r="Y33" s="58">
        <f>+W33+X33</f>
        <v>2978945.87</v>
      </c>
      <c r="Z33" s="18">
        <v>0</v>
      </c>
      <c r="AA33" s="58">
        <f>+Y33+Z33</f>
        <v>2978945.87</v>
      </c>
      <c r="AB33" s="188">
        <f>1532566.56-1532566.56+139440.33-194157.95</f>
        <v>-54717.620000000024</v>
      </c>
      <c r="AC33" s="15">
        <f>+AA33+AB33</f>
        <v>2924228.25</v>
      </c>
      <c r="AD33" s="15">
        <f>+E33-AC33</f>
        <v>0</v>
      </c>
      <c r="AE33" s="15"/>
    </row>
    <row r="34" spans="1:31" ht="15.75">
      <c r="A34" s="29"/>
      <c r="B34" s="57">
        <v>1323</v>
      </c>
      <c r="C34" s="14" t="s">
        <v>51</v>
      </c>
      <c r="D34" s="18">
        <v>20901280.320000004</v>
      </c>
      <c r="E34" s="188">
        <f>20901280.32+20000-889877.5-2747655.97+2293647.28-9883232.85+189398.83-2637927.61+168380.27-168380.27+259901.36-3293163.83-273315.72+163026.89+27591360.24</f>
        <v>31693441.44</v>
      </c>
      <c r="F34" s="18">
        <v>0</v>
      </c>
      <c r="G34" s="58">
        <f>+F34</f>
        <v>0</v>
      </c>
      <c r="H34" s="188">
        <f>3748723.91+20000</f>
        <v>3768723.91</v>
      </c>
      <c r="I34" s="58">
        <f>+G34+H34</f>
        <v>3768723.91</v>
      </c>
      <c r="J34" s="18">
        <v>2241888.39</v>
      </c>
      <c r="K34" s="58">
        <f>+I34+J34</f>
        <v>6010612.300000001</v>
      </c>
      <c r="L34" s="188">
        <f>595604.58+2749052.08</f>
        <v>3344656.66</v>
      </c>
      <c r="M34" s="58">
        <f>+K34+L34</f>
        <v>9355268.96</v>
      </c>
      <c r="N34" s="188">
        <f>849212.47+2293647.28-9883232.85</f>
        <v>-6740373.1</v>
      </c>
      <c r="O34" s="58">
        <f>+M34+N34</f>
        <v>2614895.8600000013</v>
      </c>
      <c r="P34" s="188">
        <f>2609599.27+189398.83-2637927.61</f>
        <v>161070.49000000022</v>
      </c>
      <c r="Q34" s="58">
        <f>+O34+P34</f>
        <v>2775966.3500000015</v>
      </c>
      <c r="R34" s="188">
        <f>303986.66+168380.27-168380.27</f>
        <v>303986.6599999999</v>
      </c>
      <c r="S34" s="58">
        <f>+Q34+R34</f>
        <v>3079953.0100000016</v>
      </c>
      <c r="T34" s="18">
        <v>2638473.840000001</v>
      </c>
      <c r="U34" s="58">
        <f>+S34+T34</f>
        <v>5718426.850000002</v>
      </c>
      <c r="V34" s="188">
        <f>2416997.29-889877.5</f>
        <v>1527119.79</v>
      </c>
      <c r="W34" s="58">
        <f>+U34+V34</f>
        <v>7245546.640000002</v>
      </c>
      <c r="X34" s="188">
        <f>2747741.83-2747655.97+259901.36-3293163.83-273315.72</f>
        <v>-3306492.33</v>
      </c>
      <c r="Y34" s="58">
        <f>+W34+X34</f>
        <v>3939054.3100000024</v>
      </c>
      <c r="Z34" s="188">
        <f>2749052.08-2749052.08+163026.89</f>
        <v>163026.89</v>
      </c>
      <c r="AA34" s="58">
        <f>+Y34+Z34</f>
        <v>4102081.2000000025</v>
      </c>
      <c r="AB34" s="188">
        <f>0+27591360.24</f>
        <v>27591360.24</v>
      </c>
      <c r="AC34" s="15">
        <f>+AA34+AB34</f>
        <v>31693441.44</v>
      </c>
      <c r="AD34" s="15">
        <f>+E34-AC34</f>
        <v>0</v>
      </c>
      <c r="AE34" s="15"/>
    </row>
    <row r="35" spans="1:31" ht="15.75">
      <c r="A35" s="29"/>
      <c r="B35" s="57">
        <v>1341</v>
      </c>
      <c r="C35" s="14" t="s">
        <v>246</v>
      </c>
      <c r="D35" s="18">
        <v>0</v>
      </c>
      <c r="E35" s="188">
        <f>0+1454302.72</f>
        <v>1454302.72</v>
      </c>
      <c r="F35" s="18">
        <v>0</v>
      </c>
      <c r="G35" s="58">
        <f>+F35</f>
        <v>0</v>
      </c>
      <c r="H35" s="18">
        <v>0</v>
      </c>
      <c r="I35" s="58">
        <f>+G35+H35</f>
        <v>0</v>
      </c>
      <c r="J35" s="18">
        <v>0</v>
      </c>
      <c r="K35" s="58">
        <f>+I35+J35</f>
        <v>0</v>
      </c>
      <c r="L35" s="18">
        <v>0</v>
      </c>
      <c r="M35" s="58">
        <f>+K35+L35</f>
        <v>0</v>
      </c>
      <c r="N35" s="18">
        <v>0</v>
      </c>
      <c r="O35" s="58">
        <f>+M35+N35</f>
        <v>0</v>
      </c>
      <c r="P35" s="18">
        <v>0</v>
      </c>
      <c r="Q35" s="58">
        <f>+O35+P35</f>
        <v>0</v>
      </c>
      <c r="R35" s="18">
        <v>0</v>
      </c>
      <c r="S35" s="58">
        <f>+Q35+R35</f>
        <v>0</v>
      </c>
      <c r="T35" s="18">
        <v>0</v>
      </c>
      <c r="U35" s="58">
        <f>+S35+T35</f>
        <v>0</v>
      </c>
      <c r="V35" s="18">
        <v>0</v>
      </c>
      <c r="W35" s="58">
        <f>+U35+V35</f>
        <v>0</v>
      </c>
      <c r="X35" s="18">
        <v>0</v>
      </c>
      <c r="Y35" s="58">
        <f>+W35+X35</f>
        <v>0</v>
      </c>
      <c r="Z35" s="18">
        <v>0</v>
      </c>
      <c r="AA35" s="58">
        <f>+Y35+Z35</f>
        <v>0</v>
      </c>
      <c r="AB35" s="188">
        <f>0+1454302.72</f>
        <v>1454302.72</v>
      </c>
      <c r="AC35" s="15">
        <f>+AA35+AB35</f>
        <v>1454302.72</v>
      </c>
      <c r="AD35" s="15">
        <f>+E35-AC35</f>
        <v>0</v>
      </c>
      <c r="AE35" s="15"/>
    </row>
    <row r="36" spans="1:29" ht="15">
      <c r="A36" s="29"/>
      <c r="B36" s="6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32" ht="15.75">
      <c r="A37" s="29"/>
      <c r="B37" s="69">
        <v>1400</v>
      </c>
      <c r="C37" s="67" t="s">
        <v>171</v>
      </c>
      <c r="D37" s="71">
        <f>SUM(D38:D42)</f>
        <v>12698605.039999997</v>
      </c>
      <c r="E37" s="71">
        <f>SUM(E38:E42)</f>
        <v>12387178.34</v>
      </c>
      <c r="F37" s="71">
        <f>SUM(F38:F42)</f>
        <v>1095417.09</v>
      </c>
      <c r="G37" s="71">
        <f aca="true" t="shared" si="9" ref="G37:AC37">SUM(G38:G42)</f>
        <v>1095417.09</v>
      </c>
      <c r="H37" s="71">
        <f>SUM(H38:H42)</f>
        <v>1064717.09</v>
      </c>
      <c r="I37" s="71">
        <f t="shared" si="9"/>
        <v>2160134.18</v>
      </c>
      <c r="J37" s="71">
        <f>SUM(J38:J42)</f>
        <v>1096717.09</v>
      </c>
      <c r="K37" s="71">
        <f t="shared" si="9"/>
        <v>3256851.2699999996</v>
      </c>
      <c r="L37" s="71">
        <f>SUM(L38:L42)</f>
        <v>3174651.23</v>
      </c>
      <c r="M37" s="71">
        <f t="shared" si="9"/>
        <v>6431502.5</v>
      </c>
      <c r="N37" s="71">
        <f>SUM(N38:N42)</f>
        <v>1058217.0899999999</v>
      </c>
      <c r="O37" s="71">
        <f t="shared" si="9"/>
        <v>7489719.59</v>
      </c>
      <c r="P37" s="71">
        <f>SUM(P38:P42)</f>
        <v>558217.0899999999</v>
      </c>
      <c r="Q37" s="71">
        <f t="shared" si="9"/>
        <v>8047936.68</v>
      </c>
      <c r="R37" s="71">
        <f>SUM(R38:R42)</f>
        <v>1058217.0899999999</v>
      </c>
      <c r="S37" s="71">
        <f t="shared" si="9"/>
        <v>9106153.77</v>
      </c>
      <c r="T37" s="71">
        <f>SUM(T38:T42)</f>
        <v>1061717.0899999999</v>
      </c>
      <c r="U37" s="71">
        <f t="shared" si="9"/>
        <v>10167870.86</v>
      </c>
      <c r="V37" s="71">
        <f>SUM(V38:V42)</f>
        <v>1091217.09</v>
      </c>
      <c r="W37" s="71">
        <f t="shared" si="9"/>
        <v>11259087.95</v>
      </c>
      <c r="X37" s="71">
        <f>SUM(X38:X42)</f>
        <v>1045628.72</v>
      </c>
      <c r="Y37" s="71">
        <f t="shared" si="9"/>
        <v>12304716.669999998</v>
      </c>
      <c r="Z37" s="71">
        <f>SUM(Z38:Z42)</f>
        <v>379500.5</v>
      </c>
      <c r="AA37" s="71">
        <f t="shared" si="9"/>
        <v>12684217.169999998</v>
      </c>
      <c r="AB37" s="71">
        <f>SUM(AB38:AB42)</f>
        <v>-297038.82999999996</v>
      </c>
      <c r="AC37" s="71">
        <f t="shared" si="9"/>
        <v>12387178.339999996</v>
      </c>
      <c r="AD37" s="70">
        <f>SUM(AD38:AD42)</f>
        <v>0</v>
      </c>
      <c r="AF37" s="40"/>
    </row>
    <row r="38" spans="1:31" ht="15.75">
      <c r="A38" s="29"/>
      <c r="B38" s="57">
        <v>1411</v>
      </c>
      <c r="C38" s="14" t="s">
        <v>93</v>
      </c>
      <c r="D38" s="18">
        <v>4237610.76</v>
      </c>
      <c r="E38" s="188">
        <f>4237610.76+32600-10000+5500+15000-16816.41+25000+49429.92+137028.33-152678.69</f>
        <v>4322673.909999999</v>
      </c>
      <c r="F38" s="188">
        <f>353134.23+32600-10000</f>
        <v>375734.23</v>
      </c>
      <c r="G38" s="58">
        <f>+F38</f>
        <v>375734.23</v>
      </c>
      <c r="H38" s="188">
        <f>353134.23+5500</f>
        <v>358634.23</v>
      </c>
      <c r="I38" s="58">
        <f>+G38+H38</f>
        <v>734368.46</v>
      </c>
      <c r="J38" s="188">
        <f>353134.23+15000</f>
        <v>368134.23</v>
      </c>
      <c r="K38" s="58">
        <f>+I38+J38</f>
        <v>1102502.69</v>
      </c>
      <c r="L38" s="188">
        <f>353134.23+353134.23+353134.23</f>
        <v>1059402.69</v>
      </c>
      <c r="M38" s="58">
        <f>+K38+L38</f>
        <v>2161905.38</v>
      </c>
      <c r="N38" s="18">
        <v>353134.2299999998</v>
      </c>
      <c r="O38" s="58">
        <f>+M38+N38</f>
        <v>2515039.61</v>
      </c>
      <c r="P38" s="18">
        <v>353134.2299999998</v>
      </c>
      <c r="Q38" s="58">
        <f>+O38+P38</f>
        <v>2868173.84</v>
      </c>
      <c r="R38" s="18">
        <v>353134.2299999998</v>
      </c>
      <c r="S38" s="58">
        <f>+Q38+R38</f>
        <v>3221308.07</v>
      </c>
      <c r="T38" s="18">
        <v>353134.2299999998</v>
      </c>
      <c r="U38" s="58">
        <f>+S38+T38</f>
        <v>3574442.3</v>
      </c>
      <c r="V38" s="188">
        <f>353134.23+25000</f>
        <v>378134.23</v>
      </c>
      <c r="W38" s="58">
        <f>+U38+V38</f>
        <v>3952576.53</v>
      </c>
      <c r="X38" s="188">
        <f>353134.23-16816.41</f>
        <v>336317.82</v>
      </c>
      <c r="Y38" s="58">
        <f>+W38+X38</f>
        <v>4288894.35</v>
      </c>
      <c r="Z38" s="188">
        <f>353134.23-353134.23+49429.92</f>
        <v>49429.92</v>
      </c>
      <c r="AA38" s="58">
        <f>+Y38+Z38</f>
        <v>4338324.27</v>
      </c>
      <c r="AB38" s="188">
        <f>353134.23-353134.23+137028.33-152678.69</f>
        <v>-15650.360000000015</v>
      </c>
      <c r="AC38" s="15">
        <f>+AA38+AB38</f>
        <v>4322673.909999999</v>
      </c>
      <c r="AD38" s="15">
        <f>+E38-AC38</f>
        <v>0</v>
      </c>
      <c r="AE38" s="15"/>
    </row>
    <row r="39" spans="1:31" ht="15.75">
      <c r="A39" s="29"/>
      <c r="B39" s="57">
        <v>1421</v>
      </c>
      <c r="C39" s="14" t="s">
        <v>94</v>
      </c>
      <c r="D39" s="18">
        <v>1611870.9599999995</v>
      </c>
      <c r="E39" s="188">
        <f>1611870.96+19000+500+5337.21+45903.34-57424.19</f>
        <v>1625187.32</v>
      </c>
      <c r="F39" s="188">
        <f>134322.58+19000</f>
        <v>153322.58</v>
      </c>
      <c r="G39" s="58">
        <f>+F39</f>
        <v>153322.58</v>
      </c>
      <c r="H39" s="18">
        <v>134322.57999999996</v>
      </c>
      <c r="I39" s="58">
        <f>+G39+H39</f>
        <v>287645.1599999999</v>
      </c>
      <c r="J39" s="188">
        <f>134322.58+500</f>
        <v>134822.58</v>
      </c>
      <c r="K39" s="58">
        <f>+I39+J39</f>
        <v>422467.7399999999</v>
      </c>
      <c r="L39" s="188">
        <f>134322.58+134322.58+134322.58</f>
        <v>402967.74</v>
      </c>
      <c r="M39" s="58">
        <f>+K39+L39</f>
        <v>825435.4799999999</v>
      </c>
      <c r="N39" s="18">
        <v>134322.57999999996</v>
      </c>
      <c r="O39" s="58">
        <f>+M39+N39</f>
        <v>959758.0599999998</v>
      </c>
      <c r="P39" s="18">
        <v>134322.57999999996</v>
      </c>
      <c r="Q39" s="58">
        <f>+O39+P39</f>
        <v>1094080.6399999997</v>
      </c>
      <c r="R39" s="18">
        <v>134322.57999999996</v>
      </c>
      <c r="S39" s="58">
        <f>+Q39+R39</f>
        <v>1228403.2199999997</v>
      </c>
      <c r="T39" s="18">
        <v>134322.57999999996</v>
      </c>
      <c r="U39" s="58">
        <f>+S39+T39</f>
        <v>1362725.7999999998</v>
      </c>
      <c r="V39" s="18">
        <v>134322.57999999996</v>
      </c>
      <c r="W39" s="58">
        <f>+U39+V39</f>
        <v>1497048.38</v>
      </c>
      <c r="X39" s="18">
        <v>134322.57999999996</v>
      </c>
      <c r="Y39" s="58">
        <f>+W39+X39</f>
        <v>1631370.96</v>
      </c>
      <c r="Z39" s="188">
        <f>134322.58-134322.58+5337.21</f>
        <v>5337.21</v>
      </c>
      <c r="AA39" s="58">
        <f>+Y39+Z39</f>
        <v>1636708.17</v>
      </c>
      <c r="AB39" s="188">
        <f>134322.58-134322.58+45903.34-57424.19</f>
        <v>-11520.850000000006</v>
      </c>
      <c r="AC39" s="15">
        <f>+AA39+AB39</f>
        <v>1625187.3199999998</v>
      </c>
      <c r="AD39" s="15">
        <f>+E39-AC39</f>
        <v>0</v>
      </c>
      <c r="AE39" s="18"/>
    </row>
    <row r="40" spans="1:30" ht="15.75">
      <c r="A40" s="29"/>
      <c r="B40" s="57">
        <v>1431</v>
      </c>
      <c r="C40" s="14" t="s">
        <v>95</v>
      </c>
      <c r="D40" s="18">
        <v>1544990.0399999993</v>
      </c>
      <c r="E40" s="188">
        <f>1544990.04+16600+1000+2000+279.05-279.05+3500+8000+4228.04+20235.74+36695.07-154522.31</f>
        <v>1482726.58</v>
      </c>
      <c r="F40" s="188">
        <f>128749.17+16600</f>
        <v>145349.16999999998</v>
      </c>
      <c r="G40" s="58">
        <f>+F40</f>
        <v>145349.16999999998</v>
      </c>
      <c r="H40" s="188">
        <f>128749.17+1000</f>
        <v>129749.17</v>
      </c>
      <c r="I40" s="58">
        <f>+G40+H40</f>
        <v>275098.33999999997</v>
      </c>
      <c r="J40" s="188">
        <f>128749.17+2000</f>
        <v>130749.17</v>
      </c>
      <c r="K40" s="58">
        <f>+I40+J40</f>
        <v>405847.50999999995</v>
      </c>
      <c r="L40" s="188">
        <f>128749.17+128749.17+128749.17</f>
        <v>386247.51</v>
      </c>
      <c r="M40" s="58">
        <f>+K40+L40</f>
        <v>792095.02</v>
      </c>
      <c r="N40" s="18">
        <v>128749.17</v>
      </c>
      <c r="O40" s="58">
        <f>+M40+N40</f>
        <v>920844.1900000001</v>
      </c>
      <c r="P40" s="18">
        <v>128749.17</v>
      </c>
      <c r="Q40" s="58">
        <f>+O40+P40</f>
        <v>1049593.36</v>
      </c>
      <c r="R40" s="188">
        <f>128749.17+279.05-279.05</f>
        <v>128749.17</v>
      </c>
      <c r="S40" s="58">
        <f>+Q40+R40</f>
        <v>1178342.53</v>
      </c>
      <c r="T40" s="188">
        <f>128749.17+3500</f>
        <v>132249.16999999998</v>
      </c>
      <c r="U40" s="58">
        <f>+S40+T40</f>
        <v>1310591.7</v>
      </c>
      <c r="V40" s="188">
        <f>128749.17+8000</f>
        <v>136749.16999999998</v>
      </c>
      <c r="W40" s="58">
        <f>+U40+V40</f>
        <v>1447340.8699999999</v>
      </c>
      <c r="X40" s="188">
        <f>128749.17+4228.04</f>
        <v>132977.21</v>
      </c>
      <c r="Y40" s="58">
        <f>+W40+X40</f>
        <v>1580318.0799999998</v>
      </c>
      <c r="Z40" s="188">
        <f>128749.17-128749.17+20235.74</f>
        <v>20235.74</v>
      </c>
      <c r="AA40" s="58">
        <f>+Y40+Z40</f>
        <v>1600553.8199999998</v>
      </c>
      <c r="AB40" s="188">
        <f>128749.17-128749.17+36695.07-154522.31</f>
        <v>-117827.23999999999</v>
      </c>
      <c r="AC40" s="15">
        <f>+AA40+AB40</f>
        <v>1482726.5799999998</v>
      </c>
      <c r="AD40" s="15">
        <f>+E40-AC40</f>
        <v>0</v>
      </c>
    </row>
    <row r="41" spans="1:30" ht="15.75">
      <c r="A41" s="29"/>
      <c r="B41" s="57">
        <v>1441</v>
      </c>
      <c r="C41" s="23" t="s">
        <v>96</v>
      </c>
      <c r="D41" s="18">
        <v>477147.44999999995</v>
      </c>
      <c r="E41" s="188">
        <f>477147.45+0.07-0.08-0.01</f>
        <v>477147.43</v>
      </c>
      <c r="F41" s="18">
        <v>39762.29</v>
      </c>
      <c r="G41" s="58">
        <f>+F41</f>
        <v>39762.29</v>
      </c>
      <c r="H41" s="18">
        <v>39762.29</v>
      </c>
      <c r="I41" s="58">
        <f>+G41+H41</f>
        <v>79524.58</v>
      </c>
      <c r="J41" s="18">
        <v>39762.29</v>
      </c>
      <c r="K41" s="58">
        <f>+I41+J41</f>
        <v>119286.87</v>
      </c>
      <c r="L41" s="188">
        <f>39762.29+39762.29+39762.26</f>
        <v>119286.84</v>
      </c>
      <c r="M41" s="58">
        <f>+K41+L41</f>
        <v>238573.71</v>
      </c>
      <c r="N41" s="18">
        <v>39762.29</v>
      </c>
      <c r="O41" s="58">
        <f>+M41+N41</f>
        <v>278336</v>
      </c>
      <c r="P41" s="18">
        <v>39762.29</v>
      </c>
      <c r="Q41" s="58">
        <f>+O41+P41</f>
        <v>318098.29</v>
      </c>
      <c r="R41" s="18">
        <v>39762.29</v>
      </c>
      <c r="S41" s="58">
        <f>+Q41+R41</f>
        <v>357860.57999999996</v>
      </c>
      <c r="T41" s="18">
        <v>39762.29</v>
      </c>
      <c r="U41" s="58">
        <f>+S41+T41</f>
        <v>397622.86999999994</v>
      </c>
      <c r="V41" s="18">
        <v>39762.29</v>
      </c>
      <c r="W41" s="58">
        <f>+U41+V41</f>
        <v>437385.1599999999</v>
      </c>
      <c r="X41" s="18">
        <v>39762.29</v>
      </c>
      <c r="Y41" s="58">
        <f>+W41+X41</f>
        <v>477147.4499999999</v>
      </c>
      <c r="Z41" s="188">
        <f>39762.29-39762.29</f>
        <v>0</v>
      </c>
      <c r="AA41" s="58">
        <f>+Y41+Z41</f>
        <v>477147.4499999999</v>
      </c>
      <c r="AB41" s="188">
        <f>39762.26-39762.26+0.07-0.08-0.01</f>
        <v>-0.019999999999999997</v>
      </c>
      <c r="AC41" s="15">
        <f>+AA41+AB41</f>
        <v>477147.4299999999</v>
      </c>
      <c r="AD41" s="15">
        <f>+E41-AC41</f>
        <v>0</v>
      </c>
    </row>
    <row r="42" spans="1:30" ht="15.75">
      <c r="A42" s="29"/>
      <c r="B42" s="57">
        <v>1449</v>
      </c>
      <c r="C42" s="23" t="s">
        <v>216</v>
      </c>
      <c r="D42" s="18">
        <v>4826985.829999999</v>
      </c>
      <c r="E42" s="188">
        <f>4826985.83-21000-30000+51000-500000+304497.63-152040.36</f>
        <v>4479443.1</v>
      </c>
      <c r="F42" s="188">
        <f>402248.82-21000</f>
        <v>381248.82</v>
      </c>
      <c r="G42" s="58">
        <f>+F42</f>
        <v>381248.82</v>
      </c>
      <c r="H42" s="18">
        <v>402248.82</v>
      </c>
      <c r="I42" s="58">
        <f>+G42+H42</f>
        <v>783497.64</v>
      </c>
      <c r="J42" s="188">
        <f>402248.82-30000+51000</f>
        <v>423248.82</v>
      </c>
      <c r="K42" s="58">
        <f>+I42+J42</f>
        <v>1206746.46</v>
      </c>
      <c r="L42" s="188">
        <f>402248.82+402248.82+402248.81</f>
        <v>1206746.45</v>
      </c>
      <c r="M42" s="58">
        <f>+K42+L42</f>
        <v>2413492.91</v>
      </c>
      <c r="N42" s="18">
        <v>402248.82</v>
      </c>
      <c r="O42" s="58">
        <f>+M42+N42</f>
        <v>2815741.73</v>
      </c>
      <c r="P42" s="188">
        <f>402248.82-500000</f>
        <v>-97751.18</v>
      </c>
      <c r="Q42" s="58">
        <f>+O42+P42</f>
        <v>2717990.55</v>
      </c>
      <c r="R42" s="18">
        <v>402248.82</v>
      </c>
      <c r="S42" s="58">
        <f>+Q42+R42</f>
        <v>3120239.3699999996</v>
      </c>
      <c r="T42" s="18">
        <v>402248.82</v>
      </c>
      <c r="U42" s="58">
        <f>+S42+T42</f>
        <v>3522488.1899999995</v>
      </c>
      <c r="V42" s="18">
        <v>402248.82</v>
      </c>
      <c r="W42" s="58">
        <f>+U42+V42</f>
        <v>3924737.0099999993</v>
      </c>
      <c r="X42" s="18">
        <v>402248.82</v>
      </c>
      <c r="Y42" s="58">
        <f>+W42+X42</f>
        <v>4326985.829999999</v>
      </c>
      <c r="Z42" s="188">
        <f>402248.82-402248.82+304497.63</f>
        <v>304497.63</v>
      </c>
      <c r="AA42" s="58">
        <f>+Y42+Z42</f>
        <v>4631483.459999999</v>
      </c>
      <c r="AB42" s="188">
        <f>402248.81-402248.81-152040.36</f>
        <v>-152040.36</v>
      </c>
      <c r="AC42" s="15">
        <f>+AA42+AB42</f>
        <v>4479443.099999999</v>
      </c>
      <c r="AD42" s="15">
        <f>+E42-AC42</f>
        <v>0</v>
      </c>
    </row>
    <row r="43" spans="1:29" ht="15">
      <c r="A43" s="29"/>
      <c r="B43" s="6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ht="15.75">
      <c r="A44" s="29"/>
      <c r="B44" s="69">
        <v>1500</v>
      </c>
      <c r="C44" s="67" t="s">
        <v>172</v>
      </c>
      <c r="D44" s="70">
        <f>SUM(D45:D50)</f>
        <v>118990162.68000004</v>
      </c>
      <c r="E44" s="70">
        <f>SUM(E45:E50)</f>
        <v>188018723.21</v>
      </c>
      <c r="F44" s="70">
        <f>SUM(F45:F50)</f>
        <v>9782043.469999999</v>
      </c>
      <c r="G44" s="70">
        <f aca="true" t="shared" si="10" ref="G44:AC44">SUM(G45:G50)</f>
        <v>9782043.469999999</v>
      </c>
      <c r="H44" s="70">
        <f>SUM(H45:H50)</f>
        <v>9719610.309999999</v>
      </c>
      <c r="I44" s="70">
        <f t="shared" si="10"/>
        <v>19501653.78</v>
      </c>
      <c r="J44" s="70">
        <f>SUM(J45:J50)</f>
        <v>9732972.92</v>
      </c>
      <c r="K44" s="70">
        <f t="shared" si="10"/>
        <v>29234626.7</v>
      </c>
      <c r="L44" s="70">
        <f>SUM(L45:L50)</f>
        <v>34031597.91</v>
      </c>
      <c r="M44" s="70">
        <f t="shared" si="10"/>
        <v>63266224.60999999</v>
      </c>
      <c r="N44" s="70">
        <f>SUM(N45:N50)</f>
        <v>17554114.42</v>
      </c>
      <c r="O44" s="70">
        <f t="shared" si="10"/>
        <v>80820339.03</v>
      </c>
      <c r="P44" s="70">
        <f>SUM(P45:P50)</f>
        <v>14678589.399999999</v>
      </c>
      <c r="Q44" s="70">
        <f t="shared" si="10"/>
        <v>95498928.42999999</v>
      </c>
      <c r="R44" s="70">
        <f>SUM(R45:R50)</f>
        <v>9539205.01</v>
      </c>
      <c r="S44" s="70">
        <f t="shared" si="10"/>
        <v>105038133.44</v>
      </c>
      <c r="T44" s="70">
        <f>SUM(T45:T50)</f>
        <v>10246846.89</v>
      </c>
      <c r="U44" s="70">
        <f t="shared" si="10"/>
        <v>115284980.32999998</v>
      </c>
      <c r="V44" s="70">
        <f>SUM(V45:V50)</f>
        <v>32286504.110000003</v>
      </c>
      <c r="W44" s="70">
        <f t="shared" si="10"/>
        <v>147571484.44</v>
      </c>
      <c r="X44" s="70">
        <f>SUM(X45:X50)</f>
        <v>1756351.8499999996</v>
      </c>
      <c r="Y44" s="70">
        <f t="shared" si="10"/>
        <v>149327836.29</v>
      </c>
      <c r="Z44" s="70">
        <f>SUM(Z45:Z50)</f>
        <v>48884164.940000005</v>
      </c>
      <c r="AA44" s="70">
        <f t="shared" si="10"/>
        <v>198212001.23000002</v>
      </c>
      <c r="AB44" s="70">
        <f>SUM(AB45:AB50)</f>
        <v>-10193278.020000003</v>
      </c>
      <c r="AC44" s="70">
        <f t="shared" si="10"/>
        <v>188018723.20999998</v>
      </c>
      <c r="AD44" s="70">
        <f>SUM(AD45:AD50)</f>
        <v>0</v>
      </c>
    </row>
    <row r="45" spans="1:31" ht="15.75">
      <c r="A45" s="29"/>
      <c r="B45" s="57">
        <v>1511</v>
      </c>
      <c r="C45" s="26" t="s">
        <v>97</v>
      </c>
      <c r="D45" s="18">
        <v>14464494.6</v>
      </c>
      <c r="E45" s="188">
        <f>14464494.6+50160-79000+15000+15500-933611.43-450000-415000+90019.57+552470.26+932892.67-225300.79</f>
        <v>14017624.88</v>
      </c>
      <c r="F45" s="188">
        <f>1205374.55+50160-79000</f>
        <v>1176534.55</v>
      </c>
      <c r="G45" s="58">
        <f aca="true" t="shared" si="11" ref="G45:G50">+F45</f>
        <v>1176534.55</v>
      </c>
      <c r="H45" s="188">
        <f>1205374.55+15000</f>
        <v>1220374.55</v>
      </c>
      <c r="I45" s="58">
        <f aca="true" t="shared" si="12" ref="I45:I50">+G45+H45</f>
        <v>2396909.1</v>
      </c>
      <c r="J45" s="188">
        <f>1205374.55+15500</f>
        <v>1220874.55</v>
      </c>
      <c r="K45" s="58">
        <f aca="true" t="shared" si="13" ref="K45:K50">+I45+J45</f>
        <v>3617783.6500000004</v>
      </c>
      <c r="L45" s="188">
        <f>1205374.55+1205374.55+1205374.55</f>
        <v>3616123.6500000004</v>
      </c>
      <c r="M45" s="58">
        <f aca="true" t="shared" si="14" ref="M45:M50">+K45+L45</f>
        <v>7233907.300000001</v>
      </c>
      <c r="N45" s="18">
        <v>1205374.5499999996</v>
      </c>
      <c r="O45" s="58">
        <f aca="true" t="shared" si="15" ref="O45:O50">+M45+N45</f>
        <v>8439281.85</v>
      </c>
      <c r="P45" s="188">
        <f>1205374.55-450000</f>
        <v>755374.55</v>
      </c>
      <c r="Q45" s="58">
        <f aca="true" t="shared" si="16" ref="Q45:Q50">+O45+P45</f>
        <v>9194656.4</v>
      </c>
      <c r="R45" s="18">
        <v>1205374.5499999996</v>
      </c>
      <c r="S45" s="58">
        <f aca="true" t="shared" si="17" ref="S45:S50">+Q45+R45</f>
        <v>10400030.95</v>
      </c>
      <c r="T45" s="188">
        <f>1205374.55-415000</f>
        <v>790374.55</v>
      </c>
      <c r="U45" s="58">
        <f aca="true" t="shared" si="18" ref="U45:U50">+S45+T45</f>
        <v>11190405.5</v>
      </c>
      <c r="V45" s="18">
        <v>1205374.5499999996</v>
      </c>
      <c r="W45" s="58">
        <f aca="true" t="shared" si="19" ref="W45:W50">+U45+V45</f>
        <v>12395780.049999999</v>
      </c>
      <c r="X45" s="188">
        <f>1205374.55-933611.43+90019.57</f>
        <v>361782.69</v>
      </c>
      <c r="Y45" s="58">
        <f aca="true" t="shared" si="20" ref="Y45:Y50">+W45+X45</f>
        <v>12757562.739999998</v>
      </c>
      <c r="Z45" s="188">
        <f>1205374.55-1205374.55+552470.26</f>
        <v>552470.26</v>
      </c>
      <c r="AA45" s="58">
        <f aca="true" t="shared" si="21" ref="AA45:AA50">+Y45+Z45</f>
        <v>13310032.999999998</v>
      </c>
      <c r="AB45" s="188">
        <f>1205374.55-1205374.55+932892.67-225300.79</f>
        <v>707591.88</v>
      </c>
      <c r="AC45" s="15">
        <f aca="true" t="shared" si="22" ref="AC45:AC50">+AA45+AB45</f>
        <v>14017624.879999999</v>
      </c>
      <c r="AD45" s="15">
        <f aca="true" t="shared" si="23" ref="AD45:AD50">+E45-AC45</f>
        <v>0</v>
      </c>
      <c r="AE45" s="15"/>
    </row>
    <row r="46" spans="1:31" ht="15.75">
      <c r="A46" s="29"/>
      <c r="B46" s="57">
        <v>1521</v>
      </c>
      <c r="C46" s="26" t="s">
        <v>101</v>
      </c>
      <c r="D46" s="18">
        <v>0</v>
      </c>
      <c r="E46" s="188">
        <f>8310718.93+9000000+1000000+756249.85</f>
        <v>19066968.78</v>
      </c>
      <c r="F46" s="18">
        <v>0</v>
      </c>
      <c r="G46" s="58">
        <f t="shared" si="11"/>
        <v>0</v>
      </c>
      <c r="H46" s="18">
        <v>0</v>
      </c>
      <c r="I46" s="58">
        <f t="shared" si="12"/>
        <v>0</v>
      </c>
      <c r="J46" s="18">
        <v>0</v>
      </c>
      <c r="K46" s="58">
        <f t="shared" si="13"/>
        <v>0</v>
      </c>
      <c r="L46" s="18">
        <v>0</v>
      </c>
      <c r="M46" s="58">
        <f t="shared" si="14"/>
        <v>0</v>
      </c>
      <c r="N46" s="188">
        <f>0+8310718.93+9000000+1000000</f>
        <v>18310718.93</v>
      </c>
      <c r="O46" s="58">
        <f t="shared" si="15"/>
        <v>18310718.93</v>
      </c>
      <c r="P46" s="18">
        <v>0</v>
      </c>
      <c r="Q46" s="58">
        <f t="shared" si="16"/>
        <v>18310718.93</v>
      </c>
      <c r="R46" s="18">
        <v>0</v>
      </c>
      <c r="S46" s="58">
        <f t="shared" si="17"/>
        <v>18310718.93</v>
      </c>
      <c r="T46" s="18">
        <v>0</v>
      </c>
      <c r="U46" s="58">
        <f t="shared" si="18"/>
        <v>18310718.93</v>
      </c>
      <c r="V46" s="18">
        <v>0</v>
      </c>
      <c r="W46" s="58">
        <f t="shared" si="19"/>
        <v>18310718.93</v>
      </c>
      <c r="X46" s="18">
        <v>0</v>
      </c>
      <c r="Y46" s="58">
        <f t="shared" si="20"/>
        <v>18310718.93</v>
      </c>
      <c r="Z46" s="18">
        <v>0</v>
      </c>
      <c r="AA46" s="58">
        <f t="shared" si="21"/>
        <v>18310718.93</v>
      </c>
      <c r="AB46" s="188">
        <f>0+756249.85</f>
        <v>756249.85</v>
      </c>
      <c r="AC46" s="15">
        <f t="shared" si="22"/>
        <v>19066968.78</v>
      </c>
      <c r="AD46" s="15">
        <f t="shared" si="23"/>
        <v>0</v>
      </c>
      <c r="AE46" s="15"/>
    </row>
    <row r="47" spans="1:31" ht="15.75">
      <c r="A47" s="29"/>
      <c r="B47" s="57">
        <v>1541</v>
      </c>
      <c r="C47" s="26" t="s">
        <v>102</v>
      </c>
      <c r="D47" s="18">
        <v>4176000</v>
      </c>
      <c r="E47" s="188">
        <f>4176000+16000-10000+15000+15000-105000+6540+6045+12940-12940+100000+95000+184892+461775+475230-28975</f>
        <v>5407507</v>
      </c>
      <c r="F47" s="188">
        <f>348000+16000-10000</f>
        <v>354000</v>
      </c>
      <c r="G47" s="58">
        <f t="shared" si="11"/>
        <v>354000</v>
      </c>
      <c r="H47" s="188">
        <f>348000+15000</f>
        <v>363000</v>
      </c>
      <c r="I47" s="58">
        <f t="shared" si="12"/>
        <v>717000</v>
      </c>
      <c r="J47" s="188">
        <f>348000+15000</f>
        <v>363000</v>
      </c>
      <c r="K47" s="58">
        <f t="shared" si="13"/>
        <v>1080000</v>
      </c>
      <c r="L47" s="188">
        <f>348000+348000+348000</f>
        <v>1044000</v>
      </c>
      <c r="M47" s="58">
        <f t="shared" si="14"/>
        <v>2124000</v>
      </c>
      <c r="N47" s="188">
        <f>348000+6540</f>
        <v>354540</v>
      </c>
      <c r="O47" s="58">
        <f t="shared" si="15"/>
        <v>2478540</v>
      </c>
      <c r="P47" s="188">
        <f>348000+6045</f>
        <v>354045</v>
      </c>
      <c r="Q47" s="58">
        <f t="shared" si="16"/>
        <v>2832585</v>
      </c>
      <c r="R47" s="188">
        <f>348000+12940-12940</f>
        <v>348000</v>
      </c>
      <c r="S47" s="58">
        <f t="shared" si="17"/>
        <v>3180585</v>
      </c>
      <c r="T47" s="188">
        <f>348000+100000</f>
        <v>448000</v>
      </c>
      <c r="U47" s="58">
        <f t="shared" si="18"/>
        <v>3628585</v>
      </c>
      <c r="V47" s="188">
        <f>348000+95000</f>
        <v>443000</v>
      </c>
      <c r="W47" s="58">
        <f t="shared" si="19"/>
        <v>4071585</v>
      </c>
      <c r="X47" s="188">
        <f>348000-105000+184892</f>
        <v>427892</v>
      </c>
      <c r="Y47" s="58">
        <f t="shared" si="20"/>
        <v>4499477</v>
      </c>
      <c r="Z47" s="188">
        <f>348000-348000+461775</f>
        <v>461775</v>
      </c>
      <c r="AA47" s="58">
        <f t="shared" si="21"/>
        <v>4961252</v>
      </c>
      <c r="AB47" s="188">
        <f>348000-348000+475230-28975</f>
        <v>446255</v>
      </c>
      <c r="AC47" s="15">
        <f t="shared" si="22"/>
        <v>5407507</v>
      </c>
      <c r="AD47" s="15">
        <f t="shared" si="23"/>
        <v>0</v>
      </c>
      <c r="AE47" s="15"/>
    </row>
    <row r="48" spans="1:31" ht="15">
      <c r="A48" s="29"/>
      <c r="B48" s="57">
        <v>1542</v>
      </c>
      <c r="C48" s="26" t="s">
        <v>225</v>
      </c>
      <c r="D48" s="18">
        <v>0</v>
      </c>
      <c r="E48" s="18">
        <v>0</v>
      </c>
      <c r="F48" s="18">
        <v>0</v>
      </c>
      <c r="G48" s="58">
        <f t="shared" si="11"/>
        <v>0</v>
      </c>
      <c r="H48" s="18">
        <v>0</v>
      </c>
      <c r="I48" s="58">
        <f t="shared" si="12"/>
        <v>0</v>
      </c>
      <c r="J48" s="18">
        <v>0</v>
      </c>
      <c r="K48" s="58">
        <f t="shared" si="13"/>
        <v>0</v>
      </c>
      <c r="L48" s="18">
        <v>0</v>
      </c>
      <c r="M48" s="58">
        <f t="shared" si="14"/>
        <v>0</v>
      </c>
      <c r="N48" s="18">
        <v>0</v>
      </c>
      <c r="O48" s="58">
        <f t="shared" si="15"/>
        <v>0</v>
      </c>
      <c r="P48" s="18">
        <v>0</v>
      </c>
      <c r="Q48" s="58">
        <f t="shared" si="16"/>
        <v>0</v>
      </c>
      <c r="R48" s="18">
        <v>0</v>
      </c>
      <c r="S48" s="58">
        <f t="shared" si="17"/>
        <v>0</v>
      </c>
      <c r="T48" s="18">
        <v>0</v>
      </c>
      <c r="U48" s="58">
        <f t="shared" si="18"/>
        <v>0</v>
      </c>
      <c r="V48" s="18">
        <v>0</v>
      </c>
      <c r="W48" s="58">
        <f t="shared" si="19"/>
        <v>0</v>
      </c>
      <c r="X48" s="18">
        <v>0</v>
      </c>
      <c r="Y48" s="58">
        <f t="shared" si="20"/>
        <v>0</v>
      </c>
      <c r="Z48" s="18">
        <v>0</v>
      </c>
      <c r="AA48" s="58">
        <f t="shared" si="21"/>
        <v>0</v>
      </c>
      <c r="AB48" s="18">
        <v>0</v>
      </c>
      <c r="AC48" s="15">
        <f t="shared" si="22"/>
        <v>0</v>
      </c>
      <c r="AD48" s="15">
        <f t="shared" si="23"/>
        <v>0</v>
      </c>
      <c r="AE48" s="15"/>
    </row>
    <row r="49" spans="1:30" ht="15.75">
      <c r="A49" s="29"/>
      <c r="B49" s="57">
        <v>1544</v>
      </c>
      <c r="C49" s="14" t="s">
        <v>98</v>
      </c>
      <c r="D49" s="18">
        <v>3791896.920000001</v>
      </c>
      <c r="E49" s="188">
        <f>3791896.92+700000+230000+344000+220000-38053.97+1701132.6+1601040.08+410000+38675.98-38675.98+574000+1282000+1330993.55+2137656.53+1648304.73-32105.64</f>
        <v>15900864.8</v>
      </c>
      <c r="F49" s="188">
        <f>315991.41+700000</f>
        <v>1015991.4099999999</v>
      </c>
      <c r="G49" s="58">
        <f t="shared" si="11"/>
        <v>1015991.4099999999</v>
      </c>
      <c r="H49" s="188">
        <f>315991.41+230000</f>
        <v>545991.4099999999</v>
      </c>
      <c r="I49" s="58">
        <f t="shared" si="12"/>
        <v>1561982.8199999998</v>
      </c>
      <c r="J49" s="188">
        <f>315991.41+344000</f>
        <v>659991.4099999999</v>
      </c>
      <c r="K49" s="58">
        <f t="shared" si="13"/>
        <v>2221974.2299999995</v>
      </c>
      <c r="L49" s="188">
        <f>315991.41+220000+315991.41+315991.41</f>
        <v>1167974.2299999997</v>
      </c>
      <c r="M49" s="58">
        <f t="shared" si="14"/>
        <v>3389948.459999999</v>
      </c>
      <c r="N49" s="188">
        <f>315991.41+1701132.6</f>
        <v>2017124.01</v>
      </c>
      <c r="O49" s="58">
        <f t="shared" si="15"/>
        <v>5407072.469999999</v>
      </c>
      <c r="P49" s="188">
        <f>315991.41+1601040.08</f>
        <v>1917031.49</v>
      </c>
      <c r="Q49" s="58">
        <f t="shared" si="16"/>
        <v>7324103.959999999</v>
      </c>
      <c r="R49" s="188">
        <f>315991.41+410000+96000+38675.98-38675.98</f>
        <v>821991.4099999999</v>
      </c>
      <c r="S49" s="58">
        <f t="shared" si="17"/>
        <v>8146095.369999999</v>
      </c>
      <c r="T49" s="188">
        <f>315991.41+574000</f>
        <v>889991.4099999999</v>
      </c>
      <c r="U49" s="58">
        <f t="shared" si="18"/>
        <v>9036086.78</v>
      </c>
      <c r="V49" s="188">
        <f>315991.41+1282000</f>
        <v>1597991.41</v>
      </c>
      <c r="W49" s="58">
        <f t="shared" si="19"/>
        <v>10634078.19</v>
      </c>
      <c r="X49" s="188">
        <f>315991.41-38053.97-96000+1330993.55</f>
        <v>1512930.99</v>
      </c>
      <c r="Y49" s="58">
        <f t="shared" si="20"/>
        <v>12147009.18</v>
      </c>
      <c r="Z49" s="188">
        <f>315991.41-315991.41+2137656.53</f>
        <v>2137656.53</v>
      </c>
      <c r="AA49" s="58">
        <f t="shared" si="21"/>
        <v>14284665.709999999</v>
      </c>
      <c r="AB49" s="188">
        <f>315991.41-315991.41+1648304.73-32105.64</f>
        <v>1616199.09</v>
      </c>
      <c r="AC49" s="15">
        <f t="shared" si="22"/>
        <v>15900864.799999999</v>
      </c>
      <c r="AD49" s="15">
        <f t="shared" si="23"/>
        <v>0</v>
      </c>
    </row>
    <row r="50" spans="1:30" ht="15.75">
      <c r="A50" s="29"/>
      <c r="B50" s="57">
        <v>1591</v>
      </c>
      <c r="C50" s="14" t="s">
        <v>99</v>
      </c>
      <c r="D50" s="18">
        <v>96557771.16000004</v>
      </c>
      <c r="E50" s="188">
        <f>96557771.16+132100-863000+1500-530000+66000-623373.97-455500-368944.33-6609266.33-2141769.94+802045.4-5239402.25-7942767.15+3834604.76-228947.33-587641.88-199000+233437.64-233437.64+127000-55000+30000000+12837000-15017965.19-216111.26+13751820.43-14298785.25+55000000+16588930.71-23422565.1-362539.02+13000000+19510452.98-55971280.34+4307971.93-1258964.42+3501384.14</f>
        <v>133625757.75</v>
      </c>
      <c r="F50" s="188">
        <f>7966417.51+132100-863000</f>
        <v>7235517.51</v>
      </c>
      <c r="G50" s="58">
        <f t="shared" si="11"/>
        <v>7235517.51</v>
      </c>
      <c r="H50" s="188">
        <f>8118744.35+1500-530000</f>
        <v>7590244.35</v>
      </c>
      <c r="I50" s="58">
        <f t="shared" si="12"/>
        <v>14825761.86</v>
      </c>
      <c r="J50" s="188">
        <f>8046480.93+66000-623373.97</f>
        <v>7489106.96</v>
      </c>
      <c r="K50" s="58">
        <f t="shared" si="13"/>
        <v>22314868.82</v>
      </c>
      <c r="L50" s="188">
        <f>8046480.93-455500-368944.33+6000000+7232326.52+7749136.91</f>
        <v>28203500.029999997</v>
      </c>
      <c r="M50" s="58">
        <f t="shared" si="14"/>
        <v>50518368.849999994</v>
      </c>
      <c r="N50" s="188">
        <f>8046480.93+802045.4-5239402.25-7942767.15</f>
        <v>-4333643.07</v>
      </c>
      <c r="O50" s="58">
        <f t="shared" si="15"/>
        <v>46184725.779999994</v>
      </c>
      <c r="P50" s="188">
        <f>8046480.93+3834604.76-228947.33</f>
        <v>11652138.36</v>
      </c>
      <c r="Q50" s="58">
        <f t="shared" si="16"/>
        <v>57836864.13999999</v>
      </c>
      <c r="R50" s="188">
        <f>8046480.93-587641.88-199000-96000+233437.64-233437.64</f>
        <v>7163839.05</v>
      </c>
      <c r="S50" s="58">
        <f t="shared" si="17"/>
        <v>65000703.18999999</v>
      </c>
      <c r="T50" s="188">
        <f>8046480.93+127000-55000</f>
        <v>8118480.93</v>
      </c>
      <c r="U50" s="58">
        <f t="shared" si="18"/>
        <v>73119184.11999999</v>
      </c>
      <c r="V50" s="188">
        <f>8046480.93-6609266.33+30000000+12837000-15017965.19-216111.26</f>
        <v>29040138.150000002</v>
      </c>
      <c r="W50" s="58">
        <f t="shared" si="19"/>
        <v>102159322.27</v>
      </c>
      <c r="X50" s="188">
        <f>8046480.93-6000000-2141769.94+96000+13751820.43-14298785.25</f>
        <v>-546253.8300000001</v>
      </c>
      <c r="Y50" s="58">
        <f t="shared" si="20"/>
        <v>101613068.44</v>
      </c>
      <c r="Z50" s="188">
        <f>8160763.08-7232326.52+39000000+16588930.71-23422565.1-362539.02+13000000</f>
        <v>45732263.150000006</v>
      </c>
      <c r="AA50" s="58">
        <f t="shared" si="21"/>
        <v>147345331.59</v>
      </c>
      <c r="AB50" s="188">
        <f>7939998.78-7749136.91+16000000+19510452.98-55971280.34+4307971.93-1258964.42+3501384.14</f>
        <v>-13719573.840000004</v>
      </c>
      <c r="AC50" s="15">
        <f t="shared" si="22"/>
        <v>133625757.75</v>
      </c>
      <c r="AD50" s="15">
        <f t="shared" si="23"/>
        <v>0</v>
      </c>
    </row>
    <row r="51" spans="1:29" ht="15">
      <c r="A51" s="29"/>
      <c r="B51" s="57"/>
      <c r="C51" s="14"/>
      <c r="D51" s="18"/>
      <c r="E51" s="189"/>
      <c r="F51" s="18"/>
      <c r="G51" s="59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5"/>
    </row>
    <row r="52" spans="1:31" ht="15.75">
      <c r="A52" s="29"/>
      <c r="B52" s="16"/>
      <c r="C52" s="25"/>
      <c r="D52" s="74"/>
      <c r="E52" s="190"/>
      <c r="F52" s="74"/>
      <c r="G52" s="73"/>
      <c r="H52" s="74"/>
      <c r="I52" s="19"/>
      <c r="J52" s="74"/>
      <c r="K52" s="19"/>
      <c r="L52" s="74"/>
      <c r="M52" s="19"/>
      <c r="N52" s="74"/>
      <c r="O52" s="19"/>
      <c r="P52" s="74"/>
      <c r="Q52" s="19"/>
      <c r="R52" s="74"/>
      <c r="S52" s="19"/>
      <c r="T52" s="74"/>
      <c r="U52" s="19"/>
      <c r="V52" s="74"/>
      <c r="W52" s="19"/>
      <c r="X52" s="74"/>
      <c r="Y52" s="19"/>
      <c r="Z52" s="74"/>
      <c r="AA52" s="19"/>
      <c r="AB52" s="74"/>
      <c r="AC52" s="19"/>
      <c r="AD52" s="65"/>
      <c r="AE52" s="15"/>
    </row>
    <row r="53" spans="1:30" ht="16.5" thickBot="1">
      <c r="A53" s="29"/>
      <c r="B53" s="75">
        <v>2000</v>
      </c>
      <c r="C53" s="127" t="s">
        <v>36</v>
      </c>
      <c r="D53" s="62">
        <f>+D55+D63+D67+D78+D86+D89+D95</f>
        <v>5145578.69</v>
      </c>
      <c r="E53" s="62">
        <f>+E55+E63+E67+E78+E86+E89+E95</f>
        <v>2550945.1499999994</v>
      </c>
      <c r="F53" s="62">
        <f>+F55+F63+F67+F78+F86+F89+F95</f>
        <v>357125.14</v>
      </c>
      <c r="G53" s="62">
        <f aca="true" t="shared" si="24" ref="G53:AD53">+G55+G63+G67+G78+G86+G89+G95</f>
        <v>357125.14</v>
      </c>
      <c r="H53" s="62">
        <f>+H55+H63+H67+H78+H86+H89+H95</f>
        <v>55061.5</v>
      </c>
      <c r="I53" s="62">
        <f t="shared" si="24"/>
        <v>412186.64</v>
      </c>
      <c r="J53" s="62">
        <f>+J55+J63+J67+J78+J86+J89+J95</f>
        <v>203984.5</v>
      </c>
      <c r="K53" s="62">
        <f t="shared" si="24"/>
        <v>616171.14</v>
      </c>
      <c r="L53" s="62">
        <f>+L55+L63+L67+L78+L86+L89+L95</f>
        <v>1665962.12</v>
      </c>
      <c r="M53" s="62">
        <f t="shared" si="24"/>
        <v>2282133.2600000002</v>
      </c>
      <c r="N53" s="62">
        <f>+N55+N63+N67+N78+N86+N89+N95</f>
        <v>162195.6</v>
      </c>
      <c r="O53" s="62">
        <f t="shared" si="24"/>
        <v>2444328.8600000003</v>
      </c>
      <c r="P53" s="62">
        <f>+P55+P63+P67+P78+P86+P89+P95</f>
        <v>43502.9</v>
      </c>
      <c r="Q53" s="62">
        <f t="shared" si="24"/>
        <v>2487831.7600000002</v>
      </c>
      <c r="R53" s="62">
        <f>+R55+R63+R67+R78+R86+R89+R95</f>
        <v>319011.60000000003</v>
      </c>
      <c r="S53" s="62">
        <f t="shared" si="24"/>
        <v>2806843.36</v>
      </c>
      <c r="T53" s="62">
        <f>+T55+T63+T67+T78+T86+T89+T95</f>
        <v>85667.3</v>
      </c>
      <c r="U53" s="62">
        <f t="shared" si="24"/>
        <v>2892510.6600000006</v>
      </c>
      <c r="V53" s="62">
        <f>+V55+V63+V67+V78+V86+V89+V95</f>
        <v>20039.200000000004</v>
      </c>
      <c r="W53" s="62">
        <f t="shared" si="24"/>
        <v>2912549.860000001</v>
      </c>
      <c r="X53" s="62">
        <f>+X55+X63+X67+X78+X86+X89+X95</f>
        <v>12755.41</v>
      </c>
      <c r="Y53" s="62">
        <f t="shared" si="24"/>
        <v>2925305.27</v>
      </c>
      <c r="Z53" s="62">
        <f>+Z55+Z63+Z67+Z78+Z86+Z89+Z95</f>
        <v>-233047.81</v>
      </c>
      <c r="AA53" s="62">
        <f t="shared" si="24"/>
        <v>2692257.46</v>
      </c>
      <c r="AB53" s="62">
        <f>+AB55+AB63+AB67+AB78+AB86+AB89+AB95</f>
        <v>-141312.31000000003</v>
      </c>
      <c r="AC53" s="62">
        <f t="shared" si="24"/>
        <v>2550945.1500000004</v>
      </c>
      <c r="AD53" s="62">
        <f t="shared" si="24"/>
        <v>-7.275957614183426E-11</v>
      </c>
    </row>
    <row r="54" spans="1:30" ht="16.5" thickTop="1">
      <c r="A54" s="29"/>
      <c r="B54" s="63"/>
      <c r="C54" s="2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65"/>
    </row>
    <row r="55" spans="1:30" ht="15.75">
      <c r="A55" s="29"/>
      <c r="B55" s="69">
        <v>2100</v>
      </c>
      <c r="C55" s="67" t="s">
        <v>173</v>
      </c>
      <c r="D55" s="70">
        <f>SUM(D56:D61)</f>
        <v>2363066.1300000004</v>
      </c>
      <c r="E55" s="70">
        <f>SUM(E56:E61)</f>
        <v>1606609.36</v>
      </c>
      <c r="F55" s="70">
        <f>SUM(F56:F61)</f>
        <v>47124.54</v>
      </c>
      <c r="G55" s="70">
        <f aca="true" t="shared" si="25" ref="G55:AD55">SUM(G56:G61)</f>
        <v>47124.54</v>
      </c>
      <c r="H55" s="70">
        <f>SUM(H56:H61)</f>
        <v>23416.71</v>
      </c>
      <c r="I55" s="70">
        <f t="shared" si="25"/>
        <v>70541.25</v>
      </c>
      <c r="J55" s="70">
        <f>SUM(J56:J61)</f>
        <v>37447</v>
      </c>
      <c r="K55" s="70">
        <f t="shared" si="25"/>
        <v>107988.25</v>
      </c>
      <c r="L55" s="70">
        <f>SUM(L56:L61)</f>
        <v>1352594.5400000003</v>
      </c>
      <c r="M55" s="70">
        <f t="shared" si="25"/>
        <v>1460582.7900000003</v>
      </c>
      <c r="N55" s="70">
        <f>SUM(N56:N61)</f>
        <v>-2092.170000000001</v>
      </c>
      <c r="O55" s="70">
        <f t="shared" si="25"/>
        <v>1458490.62</v>
      </c>
      <c r="P55" s="70">
        <f>SUM(P56:P61)</f>
        <v>-6771.4299999999985</v>
      </c>
      <c r="Q55" s="70">
        <f t="shared" si="25"/>
        <v>1451719.1900000002</v>
      </c>
      <c r="R55" s="70">
        <f>SUM(R56:R61)</f>
        <v>266738.46</v>
      </c>
      <c r="S55" s="70">
        <f t="shared" si="25"/>
        <v>1718457.6500000001</v>
      </c>
      <c r="T55" s="70">
        <f>SUM(T56:T61)</f>
        <v>29936.589999999997</v>
      </c>
      <c r="U55" s="70">
        <f t="shared" si="25"/>
        <v>1748394.2400000005</v>
      </c>
      <c r="V55" s="70">
        <f>SUM(V56:V61)</f>
        <v>-25603</v>
      </c>
      <c r="W55" s="70">
        <f t="shared" si="25"/>
        <v>1722791.2400000005</v>
      </c>
      <c r="X55" s="70">
        <f>SUM(X56:X61)</f>
        <v>-15283.669999999998</v>
      </c>
      <c r="Y55" s="70">
        <f t="shared" si="25"/>
        <v>1707507.5700000003</v>
      </c>
      <c r="Z55" s="70">
        <f>SUM(Z56:Z61)</f>
        <v>-26974.23000000001</v>
      </c>
      <c r="AA55" s="70">
        <f t="shared" si="25"/>
        <v>1680533.3400000003</v>
      </c>
      <c r="AB55" s="70">
        <f>SUM(AB56:AB61)</f>
        <v>-73923.98000000001</v>
      </c>
      <c r="AC55" s="70">
        <f t="shared" si="25"/>
        <v>1606609.3600000003</v>
      </c>
      <c r="AD55" s="70">
        <f t="shared" si="25"/>
        <v>0</v>
      </c>
    </row>
    <row r="56" spans="1:30" ht="15.75">
      <c r="A56" s="29"/>
      <c r="B56" s="57">
        <v>2111</v>
      </c>
      <c r="C56" s="14" t="s">
        <v>100</v>
      </c>
      <c r="D56" s="18">
        <v>1267868.59</v>
      </c>
      <c r="E56" s="188">
        <f>1267868.59+1455.61-4820.4-300+3087.05-12933.7+10-991+1047.12-11419.95+5195.8-7499.6+1512.42-58963.03+40980-16369.9+4450.97-18047.7-20440.1+1123.15-255.2+3000-75588.32+2115.37-13149.49+25000-11298.2+2435.39-18077.59-12926.3+163804.69-2000+17060.27-21000-80000+3805.53-23824.57+94.9-66428.66-115760.6</f>
        <v>951952.5500000002</v>
      </c>
      <c r="F56" s="18">
        <v>20000</v>
      </c>
      <c r="G56" s="58">
        <f aca="true" t="shared" si="26" ref="G56:G61">+F56</f>
        <v>20000</v>
      </c>
      <c r="H56" s="188">
        <f>20000+1455.61-4820.4-300</f>
        <v>16335.21</v>
      </c>
      <c r="I56" s="58">
        <f aca="true" t="shared" si="27" ref="I56:I61">+G56+H56</f>
        <v>36335.21</v>
      </c>
      <c r="J56" s="188">
        <f>20000+3087.05-12933.7+10-991</f>
        <v>9172.349999999999</v>
      </c>
      <c r="K56" s="58">
        <f aca="true" t="shared" si="28" ref="K56:K61">+I56+J56</f>
        <v>45507.56</v>
      </c>
      <c r="L56" s="188">
        <f>592191.2+1047.12-11419.95+5195.8-7499.6</f>
        <v>579514.5700000001</v>
      </c>
      <c r="M56" s="58">
        <f aca="true" t="shared" si="29" ref="M56:M61">+K56+L56</f>
        <v>625022.1300000001</v>
      </c>
      <c r="N56" s="188">
        <f>20000+1512.42-58963.03+40980-16369.9</f>
        <v>-12840.51</v>
      </c>
      <c r="O56" s="58">
        <f aca="true" t="shared" si="30" ref="O56:O61">+M56+N56</f>
        <v>612181.6200000001</v>
      </c>
      <c r="P56" s="188">
        <f>20000+4450.97-18047.7-20440.1</f>
        <v>-14036.829999999998</v>
      </c>
      <c r="Q56" s="58">
        <f aca="true" t="shared" si="31" ref="Q56:Q61">+O56+P56</f>
        <v>598144.7900000002</v>
      </c>
      <c r="R56" s="188">
        <f>359916.79+1123.15-255.2+3000-75588.32</f>
        <v>288196.42</v>
      </c>
      <c r="S56" s="58">
        <f aca="true" t="shared" si="32" ref="S56:S61">+Q56+R56</f>
        <v>886341.2100000002</v>
      </c>
      <c r="T56" s="188">
        <f>20000+2115.37-13149.49+25000-11298.2</f>
        <v>22667.679999999997</v>
      </c>
      <c r="U56" s="58">
        <f aca="true" t="shared" si="33" ref="U56:U61">+S56+T56</f>
        <v>909008.8900000002</v>
      </c>
      <c r="V56" s="188">
        <f>20000+2435.39-18077.59-12926.3</f>
        <v>-8568.5</v>
      </c>
      <c r="W56" s="58">
        <f aca="true" t="shared" si="34" ref="W56:W61">+U56+V56</f>
        <v>900440.3900000002</v>
      </c>
      <c r="X56" s="188">
        <f>20000+163804.69-2000</f>
        <v>181804.69</v>
      </c>
      <c r="Y56" s="58">
        <f aca="true" t="shared" si="35" ref="Y56:Y61">+W56+X56</f>
        <v>1082245.0800000003</v>
      </c>
      <c r="Z56" s="188">
        <f>135760.6+17060.27-21000-80000-115760.6</f>
        <v>-63939.73000000001</v>
      </c>
      <c r="AA56" s="58">
        <f aca="true" t="shared" si="36" ref="AA56:AA61">+Y56+Z56</f>
        <v>1018305.3500000003</v>
      </c>
      <c r="AB56" s="188">
        <f>20000+115760.6+3805.53-23824.57+94.9-66428.66-115760.6</f>
        <v>-66352.80000000002</v>
      </c>
      <c r="AC56" s="15">
        <f aca="true" t="shared" si="37" ref="AC56:AC61">+AA56+AB56</f>
        <v>951952.5500000003</v>
      </c>
      <c r="AD56" s="15">
        <f aca="true" t="shared" si="38" ref="AD56:AD61">+E56-AC56</f>
        <v>0</v>
      </c>
    </row>
    <row r="57" spans="1:31" ht="15">
      <c r="A57" s="29"/>
      <c r="B57" s="57">
        <v>2121</v>
      </c>
      <c r="C57" s="14" t="s">
        <v>53</v>
      </c>
      <c r="D57" s="18">
        <v>0</v>
      </c>
      <c r="E57" s="18">
        <v>0</v>
      </c>
      <c r="F57" s="18">
        <v>0</v>
      </c>
      <c r="G57" s="58">
        <f t="shared" si="26"/>
        <v>0</v>
      </c>
      <c r="H57" s="18">
        <v>0</v>
      </c>
      <c r="I57" s="58">
        <f t="shared" si="27"/>
        <v>0</v>
      </c>
      <c r="J57" s="18">
        <v>0</v>
      </c>
      <c r="K57" s="58">
        <f t="shared" si="28"/>
        <v>0</v>
      </c>
      <c r="L57" s="18">
        <v>0</v>
      </c>
      <c r="M57" s="58">
        <f t="shared" si="29"/>
        <v>0</v>
      </c>
      <c r="N57" s="18">
        <v>0</v>
      </c>
      <c r="O57" s="58">
        <f t="shared" si="30"/>
        <v>0</v>
      </c>
      <c r="P57" s="18">
        <v>0</v>
      </c>
      <c r="Q57" s="58">
        <f t="shared" si="31"/>
        <v>0</v>
      </c>
      <c r="R57" s="18">
        <v>0</v>
      </c>
      <c r="S57" s="58">
        <f t="shared" si="32"/>
        <v>0</v>
      </c>
      <c r="T57" s="18">
        <v>0</v>
      </c>
      <c r="U57" s="58">
        <f t="shared" si="33"/>
        <v>0</v>
      </c>
      <c r="V57" s="18">
        <v>0</v>
      </c>
      <c r="W57" s="58">
        <f t="shared" si="34"/>
        <v>0</v>
      </c>
      <c r="X57" s="18">
        <v>0</v>
      </c>
      <c r="Y57" s="58">
        <f t="shared" si="35"/>
        <v>0</v>
      </c>
      <c r="Z57" s="18">
        <v>0</v>
      </c>
      <c r="AA57" s="58">
        <f t="shared" si="36"/>
        <v>0</v>
      </c>
      <c r="AB57" s="18">
        <v>0</v>
      </c>
      <c r="AC57" s="15">
        <f t="shared" si="37"/>
        <v>0</v>
      </c>
      <c r="AD57" s="15">
        <f t="shared" si="38"/>
        <v>0</v>
      </c>
      <c r="AE57" s="15"/>
    </row>
    <row r="58" spans="1:31" ht="15.75">
      <c r="A58" s="29"/>
      <c r="B58" s="57">
        <v>2141</v>
      </c>
      <c r="C58" s="14" t="s">
        <v>103</v>
      </c>
      <c r="D58" s="18">
        <v>909438.5000000001</v>
      </c>
      <c r="E58" s="188">
        <f>909438.5+16000-16000+2325.14+1300-70000-24000-173000-32336+24000-630.04-85576.13</f>
        <v>551521.47</v>
      </c>
      <c r="F58" s="18">
        <v>0</v>
      </c>
      <c r="G58" s="58">
        <f t="shared" si="26"/>
        <v>0</v>
      </c>
      <c r="H58" s="18">
        <v>0</v>
      </c>
      <c r="I58" s="58">
        <f t="shared" si="27"/>
        <v>0</v>
      </c>
      <c r="J58" s="188">
        <f>0+16000</f>
        <v>16000</v>
      </c>
      <c r="K58" s="58">
        <f t="shared" si="28"/>
        <v>16000</v>
      </c>
      <c r="L58" s="188">
        <f>781820.67-16000</f>
        <v>765820.67</v>
      </c>
      <c r="M58" s="58">
        <f t="shared" si="29"/>
        <v>781820.67</v>
      </c>
      <c r="N58" s="188">
        <f>0+2325.14+1300</f>
        <v>3625.14</v>
      </c>
      <c r="O58" s="58">
        <f t="shared" si="30"/>
        <v>785445.81</v>
      </c>
      <c r="P58" s="18">
        <v>0</v>
      </c>
      <c r="Q58" s="58">
        <f t="shared" si="31"/>
        <v>785445.81</v>
      </c>
      <c r="R58" s="188">
        <f>42041.7-70000</f>
        <v>-27958.300000000003</v>
      </c>
      <c r="S58" s="58">
        <f t="shared" si="32"/>
        <v>757487.51</v>
      </c>
      <c r="T58" s="18">
        <v>0</v>
      </c>
      <c r="U58" s="58">
        <f t="shared" si="33"/>
        <v>757487.51</v>
      </c>
      <c r="V58" s="188">
        <f>0-24000</f>
        <v>-24000</v>
      </c>
      <c r="W58" s="58">
        <f t="shared" si="34"/>
        <v>733487.51</v>
      </c>
      <c r="X58" s="188">
        <f>0-173000-32336</f>
        <v>-205336</v>
      </c>
      <c r="Y58" s="58">
        <f t="shared" si="35"/>
        <v>528151.51</v>
      </c>
      <c r="Z58" s="188">
        <f>85576.13+24000-85576.13</f>
        <v>24000</v>
      </c>
      <c r="AA58" s="58">
        <f t="shared" si="36"/>
        <v>552151.51</v>
      </c>
      <c r="AB58" s="188">
        <f>0+85576.13-630.04-85576.13</f>
        <v>-630.0399999999936</v>
      </c>
      <c r="AC58" s="15">
        <f t="shared" si="37"/>
        <v>551521.47</v>
      </c>
      <c r="AD58" s="15">
        <f t="shared" si="38"/>
        <v>0</v>
      </c>
      <c r="AE58" s="15"/>
    </row>
    <row r="59" spans="1:30" ht="15.75">
      <c r="A59" s="29"/>
      <c r="B59" s="57">
        <v>2151</v>
      </c>
      <c r="C59" s="14" t="s">
        <v>105</v>
      </c>
      <c r="D59" s="18">
        <v>185759.04</v>
      </c>
      <c r="E59" s="188">
        <f>185759.04+480+1508-14061.14-82014</f>
        <v>91671.90000000002</v>
      </c>
      <c r="F59" s="18">
        <v>27124.54</v>
      </c>
      <c r="G59" s="58">
        <f t="shared" si="26"/>
        <v>27124.54</v>
      </c>
      <c r="H59" s="18">
        <v>6965.5</v>
      </c>
      <c r="I59" s="58">
        <f t="shared" si="27"/>
        <v>34090.04</v>
      </c>
      <c r="J59" s="188">
        <f>6965.5+480</f>
        <v>7445.5</v>
      </c>
      <c r="K59" s="58">
        <f t="shared" si="28"/>
        <v>41535.54</v>
      </c>
      <c r="L59" s="18">
        <v>6965.5</v>
      </c>
      <c r="M59" s="58">
        <f t="shared" si="29"/>
        <v>48501.04</v>
      </c>
      <c r="N59" s="18">
        <v>6965.5</v>
      </c>
      <c r="O59" s="58">
        <f t="shared" si="30"/>
        <v>55466.54</v>
      </c>
      <c r="P59" s="18">
        <v>6965.5</v>
      </c>
      <c r="Q59" s="58">
        <f t="shared" si="31"/>
        <v>62432.04</v>
      </c>
      <c r="R59" s="18">
        <v>6965.5</v>
      </c>
      <c r="S59" s="58">
        <f t="shared" si="32"/>
        <v>69397.54000000001</v>
      </c>
      <c r="T59" s="18">
        <v>6965.5</v>
      </c>
      <c r="U59" s="58">
        <f t="shared" si="33"/>
        <v>76363.04000000001</v>
      </c>
      <c r="V59" s="18">
        <v>6965.5</v>
      </c>
      <c r="W59" s="58">
        <f t="shared" si="34"/>
        <v>83328.54000000001</v>
      </c>
      <c r="X59" s="18">
        <v>6965.5</v>
      </c>
      <c r="Y59" s="58">
        <f t="shared" si="35"/>
        <v>90294.04000000001</v>
      </c>
      <c r="Z59" s="188">
        <f>88979.5-82014</f>
        <v>6965.5</v>
      </c>
      <c r="AA59" s="58">
        <f t="shared" si="36"/>
        <v>97259.54000000001</v>
      </c>
      <c r="AB59" s="188">
        <f>6965.5+82014+1508-14061.14-82014</f>
        <v>-5587.639999999999</v>
      </c>
      <c r="AC59" s="15">
        <f t="shared" si="37"/>
        <v>91671.90000000001</v>
      </c>
      <c r="AD59" s="15">
        <f t="shared" si="38"/>
        <v>0</v>
      </c>
    </row>
    <row r="60" spans="1:31" ht="15.75">
      <c r="A60" s="29"/>
      <c r="B60" s="57">
        <v>2161</v>
      </c>
      <c r="C60" s="14" t="s">
        <v>41</v>
      </c>
      <c r="D60" s="18">
        <v>0</v>
      </c>
      <c r="E60" s="188">
        <f>0+116+4829.15+87.8+206+157.7+299.9+134.65-599.81+303.41+1282.14+1000+69.9-901</f>
        <v>6985.839999999999</v>
      </c>
      <c r="F60" s="18">
        <v>0</v>
      </c>
      <c r="G60" s="58">
        <f t="shared" si="26"/>
        <v>0</v>
      </c>
      <c r="H60" s="188">
        <f>0+116</f>
        <v>116</v>
      </c>
      <c r="I60" s="58">
        <f t="shared" si="27"/>
        <v>116</v>
      </c>
      <c r="J60" s="188">
        <f>0+4829.15</f>
        <v>4829.15</v>
      </c>
      <c r="K60" s="58">
        <f t="shared" si="28"/>
        <v>4945.15</v>
      </c>
      <c r="L60" s="188">
        <f>0+87.8+206</f>
        <v>293.8</v>
      </c>
      <c r="M60" s="58">
        <f t="shared" si="29"/>
        <v>5238.95</v>
      </c>
      <c r="N60" s="188">
        <f>0+157.7</f>
        <v>157.7</v>
      </c>
      <c r="O60" s="58">
        <f t="shared" si="30"/>
        <v>5396.65</v>
      </c>
      <c r="P60" s="188">
        <f>0+299.9</f>
        <v>299.9</v>
      </c>
      <c r="Q60" s="58">
        <f t="shared" si="31"/>
        <v>5696.549999999999</v>
      </c>
      <c r="R60" s="188">
        <f>0+134.65-599.81</f>
        <v>-465.15999999999997</v>
      </c>
      <c r="S60" s="58">
        <f t="shared" si="32"/>
        <v>5231.389999999999</v>
      </c>
      <c r="T60" s="188">
        <f>0+303.41</f>
        <v>303.41</v>
      </c>
      <c r="U60" s="58">
        <f t="shared" si="33"/>
        <v>5534.799999999999</v>
      </c>
      <c r="V60" s="18">
        <v>0</v>
      </c>
      <c r="W60" s="58">
        <f t="shared" si="34"/>
        <v>5534.799999999999</v>
      </c>
      <c r="X60" s="188">
        <f>0+1282.14</f>
        <v>1282.14</v>
      </c>
      <c r="Y60" s="58">
        <f t="shared" si="35"/>
        <v>6816.94</v>
      </c>
      <c r="Z60" s="188">
        <f>0+1000</f>
        <v>1000</v>
      </c>
      <c r="AA60" s="58">
        <f t="shared" si="36"/>
        <v>7816.94</v>
      </c>
      <c r="AB60" s="188">
        <f>0+69.9-901</f>
        <v>-831.1</v>
      </c>
      <c r="AC60" s="15">
        <f t="shared" si="37"/>
        <v>6985.839999999999</v>
      </c>
      <c r="AD60" s="15">
        <f t="shared" si="38"/>
        <v>0</v>
      </c>
      <c r="AE60" s="15"/>
    </row>
    <row r="61" spans="1:31" ht="15.75">
      <c r="A61" s="29"/>
      <c r="B61" s="57">
        <v>2171</v>
      </c>
      <c r="C61" s="14" t="s">
        <v>104</v>
      </c>
      <c r="D61" s="18">
        <v>0</v>
      </c>
      <c r="E61" s="188">
        <f>0+5000+4477.6-5000</f>
        <v>4477.6</v>
      </c>
      <c r="F61" s="18">
        <v>0</v>
      </c>
      <c r="G61" s="58">
        <f t="shared" si="26"/>
        <v>0</v>
      </c>
      <c r="H61" s="18">
        <v>0</v>
      </c>
      <c r="I61" s="58">
        <f t="shared" si="27"/>
        <v>0</v>
      </c>
      <c r="J61" s="18">
        <v>0</v>
      </c>
      <c r="K61" s="58">
        <f t="shared" si="28"/>
        <v>0</v>
      </c>
      <c r="L61" s="18">
        <v>0</v>
      </c>
      <c r="M61" s="58">
        <f t="shared" si="29"/>
        <v>0</v>
      </c>
      <c r="N61" s="18">
        <v>0</v>
      </c>
      <c r="O61" s="58">
        <f t="shared" si="30"/>
        <v>0</v>
      </c>
      <c r="P61" s="18">
        <v>0</v>
      </c>
      <c r="Q61" s="58">
        <f t="shared" si="31"/>
        <v>0</v>
      </c>
      <c r="R61" s="18">
        <v>0</v>
      </c>
      <c r="S61" s="58">
        <f t="shared" si="32"/>
        <v>0</v>
      </c>
      <c r="T61" s="18">
        <v>0</v>
      </c>
      <c r="U61" s="58">
        <f t="shared" si="33"/>
        <v>0</v>
      </c>
      <c r="V61" s="18">
        <v>0</v>
      </c>
      <c r="W61" s="58">
        <f t="shared" si="34"/>
        <v>0</v>
      </c>
      <c r="X61" s="18">
        <v>0</v>
      </c>
      <c r="Y61" s="58">
        <f t="shared" si="35"/>
        <v>0</v>
      </c>
      <c r="Z61" s="188">
        <f>0+5000</f>
        <v>5000</v>
      </c>
      <c r="AA61" s="58">
        <f t="shared" si="36"/>
        <v>5000</v>
      </c>
      <c r="AB61" s="188">
        <f>0+4477.6-5000</f>
        <v>-522.3999999999996</v>
      </c>
      <c r="AC61" s="15">
        <f t="shared" si="37"/>
        <v>4477.6</v>
      </c>
      <c r="AD61" s="15">
        <f t="shared" si="38"/>
        <v>0</v>
      </c>
      <c r="AE61" s="15"/>
    </row>
    <row r="62" spans="1:29" ht="15">
      <c r="A62" s="29"/>
      <c r="B62" s="66"/>
      <c r="C62" s="14"/>
      <c r="D62" s="15"/>
      <c r="E62" s="15"/>
      <c r="F62" s="15"/>
      <c r="G62" s="76"/>
      <c r="H62" s="15"/>
      <c r="I62" s="76"/>
      <c r="J62" s="15"/>
      <c r="K62" s="5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30" ht="15.75">
      <c r="A63" s="29"/>
      <c r="B63" s="69">
        <v>2200</v>
      </c>
      <c r="C63" s="77" t="s">
        <v>42</v>
      </c>
      <c r="D63" s="70">
        <f>SUM(D64:D65)</f>
        <v>360000</v>
      </c>
      <c r="E63" s="70">
        <f>SUM(E64:E65)</f>
        <v>385460.1199999999</v>
      </c>
      <c r="F63" s="70">
        <f>SUM(F64:F65)</f>
        <v>30000</v>
      </c>
      <c r="G63" s="70">
        <f aca="true" t="shared" si="39" ref="G63:AC63">SUM(G64:G65)</f>
        <v>30000</v>
      </c>
      <c r="H63" s="70">
        <f>SUM(H64:H65)</f>
        <v>30916.39</v>
      </c>
      <c r="I63" s="70">
        <f t="shared" si="39"/>
        <v>60916.39</v>
      </c>
      <c r="J63" s="70">
        <f>SUM(J64:J65)</f>
        <v>32164.85</v>
      </c>
      <c r="K63" s="70">
        <f t="shared" si="39"/>
        <v>93081.23999999999</v>
      </c>
      <c r="L63" s="70">
        <f>SUM(L64:L65)</f>
        <v>35836.68000000001</v>
      </c>
      <c r="M63" s="70">
        <f t="shared" si="39"/>
        <v>128917.92</v>
      </c>
      <c r="N63" s="70">
        <f>SUM(N64:N65)</f>
        <v>107174.18</v>
      </c>
      <c r="O63" s="70">
        <f t="shared" si="39"/>
        <v>236092.09999999998</v>
      </c>
      <c r="P63" s="70">
        <f>SUM(P64:P65)</f>
        <v>39743.33</v>
      </c>
      <c r="Q63" s="70">
        <f t="shared" si="39"/>
        <v>275835.43</v>
      </c>
      <c r="R63" s="70">
        <f>SUM(R64:R65)</f>
        <v>35027.1</v>
      </c>
      <c r="S63" s="70">
        <f t="shared" si="39"/>
        <v>310862.53</v>
      </c>
      <c r="T63" s="70">
        <f>SUM(T64:T65)</f>
        <v>41119.91</v>
      </c>
      <c r="U63" s="70">
        <f t="shared" si="39"/>
        <v>351982.44000000006</v>
      </c>
      <c r="V63" s="70">
        <f>SUM(V64:V65)</f>
        <v>34129.87</v>
      </c>
      <c r="W63" s="70">
        <f t="shared" si="39"/>
        <v>386112.31000000006</v>
      </c>
      <c r="X63" s="70">
        <f>SUM(X64:X65)</f>
        <v>17372.519999999997</v>
      </c>
      <c r="Y63" s="70">
        <f t="shared" si="39"/>
        <v>403484.8300000001</v>
      </c>
      <c r="Z63" s="70">
        <f>SUM(Z64:Z65)</f>
        <v>1748.050000000003</v>
      </c>
      <c r="AA63" s="70">
        <f t="shared" si="39"/>
        <v>405232.88000000006</v>
      </c>
      <c r="AB63" s="70">
        <f>SUM(AB64:AB65)</f>
        <v>-19772.760000000006</v>
      </c>
      <c r="AC63" s="70">
        <f t="shared" si="39"/>
        <v>385460.12</v>
      </c>
      <c r="AD63" s="70">
        <f>SUM(AD64:AD65)</f>
        <v>0</v>
      </c>
    </row>
    <row r="64" spans="1:30" ht="15.75">
      <c r="A64" s="29"/>
      <c r="B64" s="57">
        <v>2211</v>
      </c>
      <c r="C64" s="14" t="s">
        <v>106</v>
      </c>
      <c r="D64" s="18">
        <v>360000</v>
      </c>
      <c r="E64" s="188">
        <f>360000+4092-1571.61-1604-3916.2+6081.05+7009.87-1134.92-38.27+524.5-1550.32+78200+7380.67-4614.84+7000-22.5-1396.8+2968+8538.69-2418.78+5000+6565.26-2435.39+8570.98-30898.46+2200+26180.24-48944.19-5488+12243.63-4875.43+36390.26-93380.98</f>
        <v>374654.4599999999</v>
      </c>
      <c r="F64" s="18">
        <v>30000</v>
      </c>
      <c r="G64" s="58">
        <f>+F64</f>
        <v>30000</v>
      </c>
      <c r="H64" s="188">
        <f>30000+4092-1571.61-1604</f>
        <v>30916.39</v>
      </c>
      <c r="I64" s="58">
        <f>+G64+H64</f>
        <v>60916.39</v>
      </c>
      <c r="J64" s="188">
        <f>30000-3916.2+6081.05</f>
        <v>32164.85</v>
      </c>
      <c r="K64" s="58">
        <f>+I64+J64</f>
        <v>93081.23999999999</v>
      </c>
      <c r="L64" s="188">
        <f>30000+7009.87-1134.92-38.27</f>
        <v>35836.68000000001</v>
      </c>
      <c r="M64" s="58">
        <f>+K64+L64</f>
        <v>128917.92</v>
      </c>
      <c r="N64" s="188">
        <f>30000+524.5-1550.32+78200</f>
        <v>107174.18</v>
      </c>
      <c r="O64" s="58">
        <f>+M64+N64</f>
        <v>236092.09999999998</v>
      </c>
      <c r="P64" s="188">
        <f>30000+7380.67-4614.84+7000-22.5</f>
        <v>39743.33</v>
      </c>
      <c r="Q64" s="58">
        <f>+O64+P64</f>
        <v>275835.43</v>
      </c>
      <c r="R64" s="188">
        <f>30000-1396.8+2968</f>
        <v>31571.2</v>
      </c>
      <c r="S64" s="58">
        <f>+Q64+R64</f>
        <v>307406.63</v>
      </c>
      <c r="T64" s="188">
        <f>30000+8538.69-2418.78+5000</f>
        <v>41119.91</v>
      </c>
      <c r="U64" s="58">
        <f>+S64+T64</f>
        <v>348526.54000000004</v>
      </c>
      <c r="V64" s="188">
        <f>30000+6565.26-2435.39</f>
        <v>34129.87</v>
      </c>
      <c r="W64" s="58">
        <f>+U64+V64</f>
        <v>382656.41000000003</v>
      </c>
      <c r="X64" s="188">
        <f>30000+8570.98-30898.46+2200</f>
        <v>9872.519999999997</v>
      </c>
      <c r="Y64" s="58">
        <f>+W64+X64</f>
        <v>392528.93000000005</v>
      </c>
      <c r="Z64" s="188">
        <f>30000+26180.24-48944.19-5488</f>
        <v>1748.050000000003</v>
      </c>
      <c r="AA64" s="58">
        <f>+Y64+Z64</f>
        <v>394276.98000000004</v>
      </c>
      <c r="AB64" s="188">
        <f>30000+12243.63-4875.43+36390.26-93380.98</f>
        <v>-19622.520000000004</v>
      </c>
      <c r="AC64" s="15">
        <f>+AA64+AB64</f>
        <v>374654.46</v>
      </c>
      <c r="AD64" s="15">
        <f>+E64-AC64</f>
        <v>0</v>
      </c>
    </row>
    <row r="65" spans="1:30" ht="15.75">
      <c r="A65" s="29"/>
      <c r="B65" s="57">
        <v>2231</v>
      </c>
      <c r="C65" s="14" t="s">
        <v>6</v>
      </c>
      <c r="D65" s="18">
        <v>0</v>
      </c>
      <c r="E65" s="188">
        <f>0+139+3316.9+7500-150.24</f>
        <v>10805.66</v>
      </c>
      <c r="F65" s="18">
        <v>0</v>
      </c>
      <c r="G65" s="58">
        <f>+F65</f>
        <v>0</v>
      </c>
      <c r="H65" s="18">
        <v>0</v>
      </c>
      <c r="I65" s="58">
        <f>+G65+H65</f>
        <v>0</v>
      </c>
      <c r="J65" s="18">
        <v>0</v>
      </c>
      <c r="K65" s="58">
        <f>+I65+J65</f>
        <v>0</v>
      </c>
      <c r="L65" s="18">
        <v>0</v>
      </c>
      <c r="M65" s="58">
        <f>+K65+L65</f>
        <v>0</v>
      </c>
      <c r="N65" s="18">
        <v>0</v>
      </c>
      <c r="O65" s="58">
        <f>+M65+N65</f>
        <v>0</v>
      </c>
      <c r="P65" s="18">
        <v>0</v>
      </c>
      <c r="Q65" s="58">
        <f>+O65+P65</f>
        <v>0</v>
      </c>
      <c r="R65" s="188">
        <f>0+139+3316.9</f>
        <v>3455.9</v>
      </c>
      <c r="S65" s="58">
        <f>+Q65+R65</f>
        <v>3455.9</v>
      </c>
      <c r="T65" s="18">
        <v>0</v>
      </c>
      <c r="U65" s="58">
        <f>+S65+T65</f>
        <v>3455.9</v>
      </c>
      <c r="V65" s="18">
        <v>0</v>
      </c>
      <c r="W65" s="58">
        <f>+U65+V65</f>
        <v>3455.9</v>
      </c>
      <c r="X65" s="188">
        <f>0+7500</f>
        <v>7500</v>
      </c>
      <c r="Y65" s="58">
        <f>+W65+X65</f>
        <v>10955.9</v>
      </c>
      <c r="Z65" s="18">
        <v>0</v>
      </c>
      <c r="AA65" s="58">
        <f>+Y65+Z65</f>
        <v>10955.9</v>
      </c>
      <c r="AB65" s="188">
        <f>0-150.24</f>
        <v>-150.24</v>
      </c>
      <c r="AC65" s="15">
        <f>+AA65+AB65</f>
        <v>10805.66</v>
      </c>
      <c r="AD65" s="15">
        <f>+E65-AC65</f>
        <v>0</v>
      </c>
    </row>
    <row r="66" spans="1:30" ht="15" customHeight="1">
      <c r="A66" s="29"/>
      <c r="B66" s="66"/>
      <c r="C66" s="14"/>
      <c r="D66" s="15"/>
      <c r="E66" s="15"/>
      <c r="F66" s="15"/>
      <c r="G66" s="59"/>
      <c r="H66" s="15"/>
      <c r="I66" s="59"/>
      <c r="J66" s="15"/>
      <c r="K66" s="59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41"/>
    </row>
    <row r="67" spans="1:30" ht="15.75">
      <c r="A67" s="29"/>
      <c r="B67" s="69">
        <v>2400</v>
      </c>
      <c r="C67" s="67" t="s">
        <v>174</v>
      </c>
      <c r="D67" s="70">
        <f>SUM(D68:D76)</f>
        <v>1689826</v>
      </c>
      <c r="E67" s="70">
        <f>SUM(E68:E76)</f>
        <v>210090.2199999999</v>
      </c>
      <c r="F67" s="70">
        <f>SUM(F68:F76)</f>
        <v>0</v>
      </c>
      <c r="G67" s="70">
        <f aca="true" t="shared" si="40" ref="G67:AC67">SUM(G68:G76)</f>
        <v>0</v>
      </c>
      <c r="H67" s="70">
        <f>SUM(H68:H76)</f>
        <v>450.39</v>
      </c>
      <c r="I67" s="70">
        <f t="shared" si="40"/>
        <v>450.39</v>
      </c>
      <c r="J67" s="70">
        <f>SUM(J68:J76)</f>
        <v>22220.649999999998</v>
      </c>
      <c r="K67" s="70">
        <f t="shared" si="40"/>
        <v>22671.039999999997</v>
      </c>
      <c r="L67" s="70">
        <f>SUM(L68:L76)</f>
        <v>195768.99</v>
      </c>
      <c r="M67" s="70">
        <f t="shared" si="40"/>
        <v>218440.03</v>
      </c>
      <c r="N67" s="70">
        <f>SUM(N68:N76)</f>
        <v>2570.99</v>
      </c>
      <c r="O67" s="70">
        <f t="shared" si="40"/>
        <v>221011.02</v>
      </c>
      <c r="P67" s="70">
        <f>SUM(P68:P76)</f>
        <v>10326</v>
      </c>
      <c r="Q67" s="70">
        <f t="shared" si="40"/>
        <v>231337.02</v>
      </c>
      <c r="R67" s="70">
        <f>SUM(R68:R76)</f>
        <v>66191.83</v>
      </c>
      <c r="S67" s="70">
        <f t="shared" si="40"/>
        <v>297528.85</v>
      </c>
      <c r="T67" s="70">
        <f>SUM(T68:T76)</f>
        <v>10776.59</v>
      </c>
      <c r="U67" s="70">
        <f t="shared" si="40"/>
        <v>308305.43999999994</v>
      </c>
      <c r="V67" s="70">
        <f>SUM(V68:V76)</f>
        <v>8393.09</v>
      </c>
      <c r="W67" s="70">
        <f t="shared" si="40"/>
        <v>316698.53</v>
      </c>
      <c r="X67" s="70">
        <f>SUM(X68:X76)</f>
        <v>6046.56</v>
      </c>
      <c r="Y67" s="70">
        <f t="shared" si="40"/>
        <v>322745.08999999997</v>
      </c>
      <c r="Z67" s="70">
        <f>SUM(Z68:Z76)</f>
        <v>-93535.2</v>
      </c>
      <c r="AA67" s="70">
        <f t="shared" si="40"/>
        <v>229209.88999999996</v>
      </c>
      <c r="AB67" s="70">
        <f>SUM(AB68:AB76)</f>
        <v>-19119.67000000001</v>
      </c>
      <c r="AC67" s="70">
        <f t="shared" si="40"/>
        <v>210090.21999999997</v>
      </c>
      <c r="AD67" s="70">
        <f>SUM(AD68:AD76)</f>
        <v>-8.003553375601768E-11</v>
      </c>
    </row>
    <row r="68" spans="1:31" ht="15.75">
      <c r="A68" s="29"/>
      <c r="B68" s="57">
        <v>2419</v>
      </c>
      <c r="C68" s="14" t="s">
        <v>107</v>
      </c>
      <c r="D68" s="18">
        <v>0</v>
      </c>
      <c r="E68" s="188">
        <f>0+391.56+464+2151.58+3000+614.8-220.16</f>
        <v>6401.78</v>
      </c>
      <c r="F68" s="18">
        <v>0</v>
      </c>
      <c r="G68" s="58">
        <f aca="true" t="shared" si="41" ref="G68:G76">+F68</f>
        <v>0</v>
      </c>
      <c r="H68" s="18">
        <v>0</v>
      </c>
      <c r="I68" s="58">
        <f aca="true" t="shared" si="42" ref="I68:I76">+G68+H68</f>
        <v>0</v>
      </c>
      <c r="J68" s="18">
        <v>0</v>
      </c>
      <c r="K68" s="58">
        <f aca="true" t="shared" si="43" ref="K68:K76">+I68+J68</f>
        <v>0</v>
      </c>
      <c r="L68" s="188">
        <f>0+391.56</f>
        <v>391.56</v>
      </c>
      <c r="M68" s="58">
        <f aca="true" t="shared" si="44" ref="M68:M76">+K68+L68</f>
        <v>391.56</v>
      </c>
      <c r="N68" s="188">
        <f>0+464</f>
        <v>464</v>
      </c>
      <c r="O68" s="58">
        <f aca="true" t="shared" si="45" ref="O68:O76">+M68+N68</f>
        <v>855.56</v>
      </c>
      <c r="P68" s="18">
        <v>0</v>
      </c>
      <c r="Q68" s="58">
        <f aca="true" t="shared" si="46" ref="Q68:Q76">+O68+P68</f>
        <v>855.56</v>
      </c>
      <c r="R68" s="188">
        <f>0+2151.58</f>
        <v>2151.58</v>
      </c>
      <c r="S68" s="58">
        <f aca="true" t="shared" si="47" ref="S68:S76">+Q68+R68</f>
        <v>3007.14</v>
      </c>
      <c r="T68" s="18">
        <v>0</v>
      </c>
      <c r="U68" s="58">
        <f aca="true" t="shared" si="48" ref="U68:U76">+S68+T68</f>
        <v>3007.14</v>
      </c>
      <c r="V68" s="18">
        <v>0</v>
      </c>
      <c r="W68" s="58">
        <f aca="true" t="shared" si="49" ref="W68:W76">+U68+V68</f>
        <v>3007.14</v>
      </c>
      <c r="X68" s="188">
        <f>0+3000</f>
        <v>3000</v>
      </c>
      <c r="Y68" s="58">
        <f aca="true" t="shared" si="50" ref="Y68:Y76">+W68+X68</f>
        <v>6007.139999999999</v>
      </c>
      <c r="Z68" s="188">
        <f>0+614.8</f>
        <v>614.8</v>
      </c>
      <c r="AA68" s="58">
        <f aca="true" t="shared" si="51" ref="AA68:AA76">+Y68+Z68</f>
        <v>6621.94</v>
      </c>
      <c r="AB68" s="188">
        <f>0-220.16</f>
        <v>-220.16</v>
      </c>
      <c r="AC68" s="15">
        <f aca="true" t="shared" si="52" ref="AC68:AC76">+AA68+AB68</f>
        <v>6401.78</v>
      </c>
      <c r="AD68" s="15">
        <f aca="true" t="shared" si="53" ref="AD68:AD76">+E68-AC68</f>
        <v>0</v>
      </c>
      <c r="AE68" s="15"/>
    </row>
    <row r="69" spans="1:31" ht="15.75">
      <c r="A69" s="29"/>
      <c r="B69" s="57">
        <v>2421</v>
      </c>
      <c r="C69" s="14" t="s">
        <v>108</v>
      </c>
      <c r="D69" s="18">
        <v>0</v>
      </c>
      <c r="E69" s="188">
        <f>0+246.02</f>
        <v>246.02</v>
      </c>
      <c r="F69" s="18">
        <v>0</v>
      </c>
      <c r="G69" s="58">
        <f t="shared" si="41"/>
        <v>0</v>
      </c>
      <c r="H69" s="18">
        <v>0</v>
      </c>
      <c r="I69" s="58">
        <f t="shared" si="42"/>
        <v>0</v>
      </c>
      <c r="J69" s="18">
        <v>0</v>
      </c>
      <c r="K69" s="58">
        <f t="shared" si="43"/>
        <v>0</v>
      </c>
      <c r="L69" s="18">
        <v>0</v>
      </c>
      <c r="M69" s="58">
        <f t="shared" si="44"/>
        <v>0</v>
      </c>
      <c r="N69" s="18">
        <v>0</v>
      </c>
      <c r="O69" s="58">
        <f t="shared" si="45"/>
        <v>0</v>
      </c>
      <c r="P69" s="18">
        <v>0</v>
      </c>
      <c r="Q69" s="58">
        <f t="shared" si="46"/>
        <v>0</v>
      </c>
      <c r="R69" s="18">
        <v>0</v>
      </c>
      <c r="S69" s="58">
        <f t="shared" si="47"/>
        <v>0</v>
      </c>
      <c r="T69" s="18">
        <v>0</v>
      </c>
      <c r="U69" s="58">
        <f t="shared" si="48"/>
        <v>0</v>
      </c>
      <c r="V69" s="18">
        <v>0</v>
      </c>
      <c r="W69" s="58">
        <f t="shared" si="49"/>
        <v>0</v>
      </c>
      <c r="X69" s="188">
        <f>0+246.02</f>
        <v>246.02</v>
      </c>
      <c r="Y69" s="58">
        <f t="shared" si="50"/>
        <v>246.02</v>
      </c>
      <c r="Z69" s="18">
        <v>0</v>
      </c>
      <c r="AA69" s="58">
        <f t="shared" si="51"/>
        <v>246.02</v>
      </c>
      <c r="AB69" s="18">
        <v>0</v>
      </c>
      <c r="AC69" s="15">
        <f t="shared" si="52"/>
        <v>246.02</v>
      </c>
      <c r="AD69" s="15">
        <f t="shared" si="53"/>
        <v>0</v>
      </c>
      <c r="AE69" s="15"/>
    </row>
    <row r="70" spans="1:31" ht="15.75">
      <c r="A70" s="29"/>
      <c r="B70" s="57">
        <v>2431</v>
      </c>
      <c r="C70" s="14" t="s">
        <v>109</v>
      </c>
      <c r="D70" s="18">
        <v>0</v>
      </c>
      <c r="E70" s="188">
        <f>0+939.95</f>
        <v>939.95</v>
      </c>
      <c r="F70" s="18">
        <v>0</v>
      </c>
      <c r="G70" s="58">
        <f t="shared" si="41"/>
        <v>0</v>
      </c>
      <c r="H70" s="18">
        <v>0</v>
      </c>
      <c r="I70" s="58">
        <f t="shared" si="42"/>
        <v>0</v>
      </c>
      <c r="J70" s="18">
        <v>0</v>
      </c>
      <c r="K70" s="58">
        <f t="shared" si="43"/>
        <v>0</v>
      </c>
      <c r="L70" s="18">
        <v>0</v>
      </c>
      <c r="M70" s="58">
        <f t="shared" si="44"/>
        <v>0</v>
      </c>
      <c r="N70" s="18">
        <v>0</v>
      </c>
      <c r="O70" s="58">
        <f t="shared" si="45"/>
        <v>0</v>
      </c>
      <c r="P70" s="18">
        <v>0</v>
      </c>
      <c r="Q70" s="58">
        <f t="shared" si="46"/>
        <v>0</v>
      </c>
      <c r="R70" s="188">
        <f>0+939.95</f>
        <v>939.95</v>
      </c>
      <c r="S70" s="58">
        <f t="shared" si="47"/>
        <v>939.95</v>
      </c>
      <c r="T70" s="18">
        <v>0</v>
      </c>
      <c r="U70" s="58">
        <f t="shared" si="48"/>
        <v>939.95</v>
      </c>
      <c r="V70" s="18">
        <v>0</v>
      </c>
      <c r="W70" s="58">
        <f t="shared" si="49"/>
        <v>939.95</v>
      </c>
      <c r="X70" s="18">
        <v>0</v>
      </c>
      <c r="Y70" s="58">
        <f t="shared" si="50"/>
        <v>939.95</v>
      </c>
      <c r="Z70" s="18">
        <v>0</v>
      </c>
      <c r="AA70" s="58">
        <f t="shared" si="51"/>
        <v>939.95</v>
      </c>
      <c r="AB70" s="18">
        <v>0</v>
      </c>
      <c r="AC70" s="15">
        <f t="shared" si="52"/>
        <v>939.95</v>
      </c>
      <c r="AD70" s="15">
        <f t="shared" si="53"/>
        <v>0</v>
      </c>
      <c r="AE70" s="15"/>
    </row>
    <row r="71" spans="1:30" ht="15.75">
      <c r="A71" s="29"/>
      <c r="B71" s="57">
        <v>2441</v>
      </c>
      <c r="C71" s="14" t="s">
        <v>110</v>
      </c>
      <c r="D71" s="18">
        <v>0</v>
      </c>
      <c r="E71" s="188">
        <f>0+5000+170+10000-4589.7+10000+636.24+2500-3923.25</f>
        <v>19793.29</v>
      </c>
      <c r="F71" s="18">
        <v>0</v>
      </c>
      <c r="G71" s="58">
        <f t="shared" si="41"/>
        <v>0</v>
      </c>
      <c r="H71" s="18">
        <v>0</v>
      </c>
      <c r="I71" s="58">
        <f t="shared" si="42"/>
        <v>0</v>
      </c>
      <c r="J71" s="18">
        <v>0</v>
      </c>
      <c r="K71" s="58">
        <f t="shared" si="43"/>
        <v>0</v>
      </c>
      <c r="L71" s="188">
        <f>0+5000</f>
        <v>5000</v>
      </c>
      <c r="M71" s="58">
        <f t="shared" si="44"/>
        <v>5000</v>
      </c>
      <c r="N71" s="188">
        <f>0+170</f>
        <v>170</v>
      </c>
      <c r="O71" s="58">
        <f t="shared" si="45"/>
        <v>5170</v>
      </c>
      <c r="P71" s="188">
        <f>0+10000</f>
        <v>10000</v>
      </c>
      <c r="Q71" s="58">
        <f t="shared" si="46"/>
        <v>15170</v>
      </c>
      <c r="R71" s="188">
        <f>0-4589.7</f>
        <v>-4589.7</v>
      </c>
      <c r="S71" s="58">
        <f t="shared" si="47"/>
        <v>10580.3</v>
      </c>
      <c r="T71" s="188">
        <f>0+10000</f>
        <v>10000</v>
      </c>
      <c r="U71" s="58">
        <f t="shared" si="48"/>
        <v>20580.3</v>
      </c>
      <c r="V71" s="18">
        <v>0</v>
      </c>
      <c r="W71" s="58">
        <f t="shared" si="49"/>
        <v>20580.3</v>
      </c>
      <c r="X71" s="188">
        <f>0+636.24</f>
        <v>636.24</v>
      </c>
      <c r="Y71" s="58">
        <f t="shared" si="50"/>
        <v>21216.54</v>
      </c>
      <c r="Z71" s="188">
        <f>0+2500</f>
        <v>2500</v>
      </c>
      <c r="AA71" s="58">
        <f t="shared" si="51"/>
        <v>23716.54</v>
      </c>
      <c r="AB71" s="188">
        <f>0-3923.25</f>
        <v>-3923.25</v>
      </c>
      <c r="AC71" s="15">
        <f t="shared" si="52"/>
        <v>19793.29</v>
      </c>
      <c r="AD71" s="15">
        <f t="shared" si="53"/>
        <v>0</v>
      </c>
    </row>
    <row r="72" spans="1:30" ht="15.75">
      <c r="A72" s="29"/>
      <c r="B72" s="57">
        <v>2451</v>
      </c>
      <c r="C72" s="14" t="s">
        <v>111</v>
      </c>
      <c r="D72" s="18">
        <v>0</v>
      </c>
      <c r="E72" s="188">
        <f>0+1561.99+580</f>
        <v>2141.99</v>
      </c>
      <c r="F72" s="18">
        <v>0</v>
      </c>
      <c r="G72" s="58">
        <f t="shared" si="41"/>
        <v>0</v>
      </c>
      <c r="H72" s="18">
        <v>0</v>
      </c>
      <c r="I72" s="58">
        <f t="shared" si="42"/>
        <v>0</v>
      </c>
      <c r="J72" s="18">
        <v>0</v>
      </c>
      <c r="K72" s="58">
        <f t="shared" si="43"/>
        <v>0</v>
      </c>
      <c r="L72" s="18">
        <v>0</v>
      </c>
      <c r="M72" s="58">
        <f t="shared" si="44"/>
        <v>0</v>
      </c>
      <c r="N72" s="18">
        <v>0</v>
      </c>
      <c r="O72" s="58">
        <f t="shared" si="45"/>
        <v>0</v>
      </c>
      <c r="P72" s="18">
        <v>0</v>
      </c>
      <c r="Q72" s="58">
        <f t="shared" si="46"/>
        <v>0</v>
      </c>
      <c r="R72" s="18">
        <v>0</v>
      </c>
      <c r="S72" s="58">
        <f t="shared" si="47"/>
        <v>0</v>
      </c>
      <c r="T72" s="18">
        <v>0</v>
      </c>
      <c r="U72" s="58">
        <f t="shared" si="48"/>
        <v>0</v>
      </c>
      <c r="V72" s="188">
        <f>0+1561.99</f>
        <v>1561.99</v>
      </c>
      <c r="W72" s="58">
        <f t="shared" si="49"/>
        <v>1561.99</v>
      </c>
      <c r="X72" s="18">
        <v>0</v>
      </c>
      <c r="Y72" s="58">
        <f t="shared" si="50"/>
        <v>1561.99</v>
      </c>
      <c r="Z72" s="18">
        <v>0</v>
      </c>
      <c r="AA72" s="58">
        <f t="shared" si="51"/>
        <v>1561.99</v>
      </c>
      <c r="AB72" s="188">
        <f>0+580</f>
        <v>580</v>
      </c>
      <c r="AC72" s="15">
        <f t="shared" si="52"/>
        <v>2141.99</v>
      </c>
      <c r="AD72" s="15">
        <f t="shared" si="53"/>
        <v>0</v>
      </c>
    </row>
    <row r="73" spans="1:30" ht="15.75">
      <c r="A73" s="29"/>
      <c r="B73" s="57">
        <v>2461</v>
      </c>
      <c r="C73" s="14" t="s">
        <v>112</v>
      </c>
      <c r="D73" s="18">
        <v>203888.66999999998</v>
      </c>
      <c r="E73" s="188">
        <f>203888.67+3600+16000+173.4-9862.38+326.99+1544.4-9500-60500-5562.87-78705.04</f>
        <v>61403.17</v>
      </c>
      <c r="F73" s="18">
        <v>0</v>
      </c>
      <c r="G73" s="58">
        <f t="shared" si="41"/>
        <v>0</v>
      </c>
      <c r="H73" s="18">
        <v>0</v>
      </c>
      <c r="I73" s="58">
        <f t="shared" si="42"/>
        <v>0</v>
      </c>
      <c r="J73" s="188">
        <f>0+3600+16000</f>
        <v>19600</v>
      </c>
      <c r="K73" s="58">
        <f t="shared" si="43"/>
        <v>19600</v>
      </c>
      <c r="L73" s="188">
        <f>85781.94+173.4</f>
        <v>85955.34</v>
      </c>
      <c r="M73" s="58">
        <f t="shared" si="44"/>
        <v>105555.34</v>
      </c>
      <c r="N73" s="18">
        <v>0</v>
      </c>
      <c r="O73" s="58">
        <f t="shared" si="45"/>
        <v>105555.34</v>
      </c>
      <c r="P73" s="18">
        <v>0</v>
      </c>
      <c r="Q73" s="58">
        <f t="shared" si="46"/>
        <v>105555.34</v>
      </c>
      <c r="R73" s="188">
        <f>39401.69-9862.38</f>
        <v>29539.310000000005</v>
      </c>
      <c r="S73" s="58">
        <f t="shared" si="47"/>
        <v>135094.65</v>
      </c>
      <c r="T73" s="188">
        <f>0+326.99</f>
        <v>326.99</v>
      </c>
      <c r="U73" s="58">
        <f t="shared" si="48"/>
        <v>135421.63999999998</v>
      </c>
      <c r="V73" s="18">
        <v>0</v>
      </c>
      <c r="W73" s="58">
        <f t="shared" si="49"/>
        <v>135421.63999999998</v>
      </c>
      <c r="X73" s="188">
        <f>0+1544.4</f>
        <v>1544.4</v>
      </c>
      <c r="Y73" s="58">
        <f t="shared" si="50"/>
        <v>136966.03999999998</v>
      </c>
      <c r="Z73" s="188">
        <f>78705.04-9500-60500-78705.04</f>
        <v>-70000</v>
      </c>
      <c r="AA73" s="58">
        <f t="shared" si="51"/>
        <v>66966.03999999998</v>
      </c>
      <c r="AB73" s="188">
        <f>0+78705.04-5562.87-78705.04</f>
        <v>-5562.869999999995</v>
      </c>
      <c r="AC73" s="15">
        <f t="shared" si="52"/>
        <v>61403.169999999984</v>
      </c>
      <c r="AD73" s="15">
        <f t="shared" si="53"/>
        <v>0</v>
      </c>
    </row>
    <row r="74" spans="1:30" ht="15.75">
      <c r="A74" s="29"/>
      <c r="B74" s="57">
        <v>2471</v>
      </c>
      <c r="C74" s="14" t="s">
        <v>113</v>
      </c>
      <c r="D74" s="18">
        <v>572811.9</v>
      </c>
      <c r="E74" s="188">
        <f>572811.9+1549.17+1521.24+725.99+126+3621.64-2133.71+3346.21+260.3+850+1753-9930.53-534692.5</f>
        <v>39808.71000000008</v>
      </c>
      <c r="F74" s="18">
        <v>0</v>
      </c>
      <c r="G74" s="58">
        <f t="shared" si="41"/>
        <v>0</v>
      </c>
      <c r="H74" s="18">
        <v>0</v>
      </c>
      <c r="I74" s="58">
        <f t="shared" si="42"/>
        <v>0</v>
      </c>
      <c r="J74" s="188">
        <f>0+1549.17</f>
        <v>1549.17</v>
      </c>
      <c r="K74" s="58">
        <f t="shared" si="43"/>
        <v>1549.17</v>
      </c>
      <c r="L74" s="188">
        <f>31548.65+1521.24</f>
        <v>33069.89</v>
      </c>
      <c r="M74" s="58">
        <f t="shared" si="44"/>
        <v>34619.06</v>
      </c>
      <c r="N74" s="188">
        <f>0+725.99</f>
        <v>725.99</v>
      </c>
      <c r="O74" s="58">
        <f t="shared" si="45"/>
        <v>35345.049999999996</v>
      </c>
      <c r="P74" s="188">
        <f>0+126</f>
        <v>126</v>
      </c>
      <c r="Q74" s="58">
        <f t="shared" si="46"/>
        <v>35471.049999999996</v>
      </c>
      <c r="R74" s="188">
        <f>6570.75+3621.64-2133.71</f>
        <v>8058.679999999999</v>
      </c>
      <c r="S74" s="58">
        <f t="shared" si="47"/>
        <v>43529.729999999996</v>
      </c>
      <c r="T74" s="18">
        <v>0</v>
      </c>
      <c r="U74" s="58">
        <f t="shared" si="48"/>
        <v>43529.729999999996</v>
      </c>
      <c r="V74" s="188">
        <f>0+3346.21</f>
        <v>3346.21</v>
      </c>
      <c r="W74" s="58">
        <f t="shared" si="49"/>
        <v>46875.939999999995</v>
      </c>
      <c r="X74" s="188">
        <f>0+260.3</f>
        <v>260.3</v>
      </c>
      <c r="Y74" s="58">
        <f t="shared" si="50"/>
        <v>47136.24</v>
      </c>
      <c r="Z74" s="188">
        <f>534692.5+850-534692.5</f>
        <v>850</v>
      </c>
      <c r="AA74" s="58">
        <f t="shared" si="51"/>
        <v>47986.24</v>
      </c>
      <c r="AB74" s="188">
        <f>0+534692.5+1753-9930.53-534692.5</f>
        <v>-8177.530000000028</v>
      </c>
      <c r="AC74" s="15">
        <f t="shared" si="52"/>
        <v>39808.70999999997</v>
      </c>
      <c r="AD74" s="15">
        <f t="shared" si="53"/>
        <v>1.0913936421275139E-10</v>
      </c>
    </row>
    <row r="75" spans="1:30" ht="15.75">
      <c r="A75" s="29"/>
      <c r="B75" s="57">
        <v>2481</v>
      </c>
      <c r="C75" s="14" t="s">
        <v>114</v>
      </c>
      <c r="D75" s="18">
        <v>325511.5</v>
      </c>
      <c r="E75" s="188">
        <f>325511.5+1346+3000+157.5+359.6+2500-484.95-302858.05</f>
        <v>29531.599999999977</v>
      </c>
      <c r="F75" s="18">
        <v>0</v>
      </c>
      <c r="G75" s="58">
        <f t="shared" si="41"/>
        <v>0</v>
      </c>
      <c r="H75" s="18">
        <v>0</v>
      </c>
      <c r="I75" s="58">
        <f t="shared" si="42"/>
        <v>0</v>
      </c>
      <c r="J75" s="18">
        <v>0</v>
      </c>
      <c r="K75" s="58">
        <f t="shared" si="43"/>
        <v>0</v>
      </c>
      <c r="L75" s="188">
        <f>22653.45+1346</f>
        <v>23999.45</v>
      </c>
      <c r="M75" s="58">
        <f t="shared" si="44"/>
        <v>23999.45</v>
      </c>
      <c r="N75" s="18">
        <v>0</v>
      </c>
      <c r="O75" s="58">
        <f t="shared" si="45"/>
        <v>23999.45</v>
      </c>
      <c r="P75" s="18">
        <v>0</v>
      </c>
      <c r="Q75" s="58">
        <f t="shared" si="46"/>
        <v>23999.45</v>
      </c>
      <c r="R75" s="188">
        <f>0+3000</f>
        <v>3000</v>
      </c>
      <c r="S75" s="58">
        <f t="shared" si="47"/>
        <v>26999.45</v>
      </c>
      <c r="T75" s="188">
        <f>0+157.5</f>
        <v>157.5</v>
      </c>
      <c r="U75" s="58">
        <f t="shared" si="48"/>
        <v>27156.95</v>
      </c>
      <c r="V75" s="18">
        <v>0</v>
      </c>
      <c r="W75" s="58">
        <f t="shared" si="49"/>
        <v>27156.95</v>
      </c>
      <c r="X75" s="188">
        <f>0+359.6</f>
        <v>359.6</v>
      </c>
      <c r="Y75" s="58">
        <f t="shared" si="50"/>
        <v>27516.55</v>
      </c>
      <c r="Z75" s="188">
        <f>302858.05+2500-302858.05</f>
        <v>2500</v>
      </c>
      <c r="AA75" s="58">
        <f t="shared" si="51"/>
        <v>30016.55</v>
      </c>
      <c r="AB75" s="188">
        <f>302858.05-484.95-302858.05</f>
        <v>-484.95000000001164</v>
      </c>
      <c r="AC75" s="15">
        <f t="shared" si="52"/>
        <v>29531.599999999988</v>
      </c>
      <c r="AD75" s="15">
        <f t="shared" si="53"/>
        <v>0</v>
      </c>
    </row>
    <row r="76" spans="1:30" ht="15.75">
      <c r="A76" s="29"/>
      <c r="B76" s="57">
        <v>2491</v>
      </c>
      <c r="C76" s="14" t="s">
        <v>115</v>
      </c>
      <c r="D76" s="18">
        <v>587613.93</v>
      </c>
      <c r="E76" s="188">
        <f>587613.93+450.39+1071.48+217.83+261+950+200+255.2+914.19-286.25+292.1+3484.89-30000+348-1678.91-514270.14</f>
        <v>49823.709999999846</v>
      </c>
      <c r="F76" s="18">
        <v>0</v>
      </c>
      <c r="G76" s="58">
        <f t="shared" si="41"/>
        <v>0</v>
      </c>
      <c r="H76" s="188">
        <f>0+450.39</f>
        <v>450.39</v>
      </c>
      <c r="I76" s="58">
        <f t="shared" si="42"/>
        <v>450.39</v>
      </c>
      <c r="J76" s="188">
        <f>0+1071.48</f>
        <v>1071.48</v>
      </c>
      <c r="K76" s="58">
        <f t="shared" si="43"/>
        <v>1521.87</v>
      </c>
      <c r="L76" s="188">
        <f>47134.92+217.83</f>
        <v>47352.75</v>
      </c>
      <c r="M76" s="58">
        <f t="shared" si="44"/>
        <v>48874.62</v>
      </c>
      <c r="N76" s="188">
        <f>0+261+950</f>
        <v>1211</v>
      </c>
      <c r="O76" s="58">
        <f t="shared" si="45"/>
        <v>50085.62</v>
      </c>
      <c r="P76" s="188">
        <f>0+200</f>
        <v>200</v>
      </c>
      <c r="Q76" s="58">
        <f t="shared" si="46"/>
        <v>50285.62</v>
      </c>
      <c r="R76" s="188">
        <f>26208.87+255.2+914.19-286.25</f>
        <v>27092.01</v>
      </c>
      <c r="S76" s="58">
        <f t="shared" si="47"/>
        <v>77377.63</v>
      </c>
      <c r="T76" s="188">
        <f>0+292.1</f>
        <v>292.1</v>
      </c>
      <c r="U76" s="58">
        <f t="shared" si="48"/>
        <v>77669.73000000001</v>
      </c>
      <c r="V76" s="188">
        <f>0+3484.89</f>
        <v>3484.89</v>
      </c>
      <c r="W76" s="58">
        <f t="shared" si="49"/>
        <v>81154.62000000001</v>
      </c>
      <c r="X76" s="18">
        <v>0</v>
      </c>
      <c r="Y76" s="58">
        <f t="shared" si="50"/>
        <v>81154.62000000001</v>
      </c>
      <c r="Z76" s="188">
        <f>514270.14-30000-514270.14</f>
        <v>-30000</v>
      </c>
      <c r="AA76" s="58">
        <f t="shared" si="51"/>
        <v>51154.62000000001</v>
      </c>
      <c r="AB76" s="188">
        <f>0+514270.14+348-1678.91-514270.14</f>
        <v>-1330.9099999999744</v>
      </c>
      <c r="AC76" s="15">
        <f t="shared" si="52"/>
        <v>49823.710000000036</v>
      </c>
      <c r="AD76" s="15">
        <f t="shared" si="53"/>
        <v>-1.8917489796876907E-10</v>
      </c>
    </row>
    <row r="77" spans="1:30" ht="15.75">
      <c r="A77" s="29"/>
      <c r="D77" s="19"/>
      <c r="E77" s="19"/>
      <c r="F77" s="19"/>
      <c r="G77" s="20"/>
      <c r="H77" s="19"/>
      <c r="I77" s="20"/>
      <c r="J77" s="19"/>
      <c r="K77" s="20"/>
      <c r="L77" s="19"/>
      <c r="M77" s="15"/>
      <c r="N77" s="19"/>
      <c r="O77" s="15"/>
      <c r="P77" s="19"/>
      <c r="Q77" s="15"/>
      <c r="R77" s="19"/>
      <c r="S77" s="15"/>
      <c r="T77" s="19"/>
      <c r="U77" s="15"/>
      <c r="V77" s="19"/>
      <c r="W77" s="15"/>
      <c r="X77" s="19"/>
      <c r="Y77" s="15"/>
      <c r="Z77" s="19"/>
      <c r="AA77" s="15"/>
      <c r="AB77" s="19"/>
      <c r="AC77" s="15"/>
      <c r="AD77" s="41"/>
    </row>
    <row r="78" spans="1:30" ht="15.75">
      <c r="A78" s="29"/>
      <c r="B78" s="69">
        <v>2500</v>
      </c>
      <c r="C78" s="67" t="s">
        <v>175</v>
      </c>
      <c r="D78" s="70">
        <f>SUM(D79:D84)</f>
        <v>120000</v>
      </c>
      <c r="E78" s="70">
        <f>SUM(E79:E84)</f>
        <v>74924.73999999999</v>
      </c>
      <c r="F78" s="70">
        <f>SUM(F79:F84)</f>
        <v>40000</v>
      </c>
      <c r="G78" s="70">
        <f aca="true" t="shared" si="54" ref="G78:AC78">SUM(G79:G84)</f>
        <v>40000</v>
      </c>
      <c r="H78" s="70">
        <f>SUM(H79:H84)</f>
        <v>0</v>
      </c>
      <c r="I78" s="70">
        <f t="shared" si="54"/>
        <v>40000</v>
      </c>
      <c r="J78" s="70">
        <f>SUM(J79:J84)</f>
        <v>-4000</v>
      </c>
      <c r="K78" s="70">
        <f t="shared" si="54"/>
        <v>36000</v>
      </c>
      <c r="L78" s="70">
        <f>SUM(L79:L84)</f>
        <v>0</v>
      </c>
      <c r="M78" s="70">
        <f t="shared" si="54"/>
        <v>36000</v>
      </c>
      <c r="N78" s="70">
        <f>SUM(N79:N84)</f>
        <v>52570.6</v>
      </c>
      <c r="O78" s="70">
        <f t="shared" si="54"/>
        <v>88570.6</v>
      </c>
      <c r="P78" s="70">
        <f>SUM(P79:P84)</f>
        <v>0</v>
      </c>
      <c r="Q78" s="70">
        <f t="shared" si="54"/>
        <v>88570.6</v>
      </c>
      <c r="R78" s="70">
        <f>SUM(R79:R84)</f>
        <v>-4651.12</v>
      </c>
      <c r="S78" s="70">
        <f t="shared" si="54"/>
        <v>83919.48</v>
      </c>
      <c r="T78" s="70">
        <f>SUM(T79:T84)</f>
        <v>1792.42</v>
      </c>
      <c r="U78" s="70">
        <f t="shared" si="54"/>
        <v>85711.9</v>
      </c>
      <c r="V78" s="70">
        <f>SUM(V79:V84)</f>
        <v>194.24</v>
      </c>
      <c r="W78" s="70">
        <f t="shared" si="54"/>
        <v>85906.13999999998</v>
      </c>
      <c r="X78" s="70">
        <f>SUM(X79:X84)</f>
        <v>120</v>
      </c>
      <c r="Y78" s="70">
        <f t="shared" si="54"/>
        <v>86026.13999999998</v>
      </c>
      <c r="Z78" s="70">
        <f>SUM(Z79:Z84)</f>
        <v>141</v>
      </c>
      <c r="AA78" s="70">
        <f t="shared" si="54"/>
        <v>86167.13999999998</v>
      </c>
      <c r="AB78" s="70">
        <f>SUM(AB79:AB84)</f>
        <v>-11242.400000000001</v>
      </c>
      <c r="AC78" s="70">
        <f t="shared" si="54"/>
        <v>74924.73999999999</v>
      </c>
      <c r="AD78" s="70">
        <f>SUM(AD79:AD84)</f>
        <v>0</v>
      </c>
    </row>
    <row r="79" spans="1:30" ht="15">
      <c r="A79" s="29"/>
      <c r="B79" s="57">
        <v>2511</v>
      </c>
      <c r="C79" s="26" t="s">
        <v>193</v>
      </c>
      <c r="D79" s="18">
        <v>0</v>
      </c>
      <c r="E79" s="18">
        <v>0</v>
      </c>
      <c r="F79" s="18">
        <v>0</v>
      </c>
      <c r="G79" s="58">
        <f aca="true" t="shared" si="55" ref="G79:G84">+F79</f>
        <v>0</v>
      </c>
      <c r="H79" s="18">
        <v>0</v>
      </c>
      <c r="I79" s="58">
        <f aca="true" t="shared" si="56" ref="I79:I84">+G79+H79</f>
        <v>0</v>
      </c>
      <c r="J79" s="18">
        <v>0</v>
      </c>
      <c r="K79" s="58">
        <f aca="true" t="shared" si="57" ref="K79:K84">+I79+J79</f>
        <v>0</v>
      </c>
      <c r="L79" s="18">
        <v>0</v>
      </c>
      <c r="M79" s="58">
        <f aca="true" t="shared" si="58" ref="M79:M84">+K79+L79</f>
        <v>0</v>
      </c>
      <c r="N79" s="18">
        <v>0</v>
      </c>
      <c r="O79" s="58">
        <f aca="true" t="shared" si="59" ref="O79:O84">+M79+N79</f>
        <v>0</v>
      </c>
      <c r="P79" s="18">
        <v>0</v>
      </c>
      <c r="Q79" s="58">
        <f aca="true" t="shared" si="60" ref="Q79:Q84">+O79+P79</f>
        <v>0</v>
      </c>
      <c r="R79" s="18">
        <v>0</v>
      </c>
      <c r="S79" s="58">
        <f aca="true" t="shared" si="61" ref="S79:S84">+Q79+R79</f>
        <v>0</v>
      </c>
      <c r="T79" s="18">
        <v>0</v>
      </c>
      <c r="U79" s="58">
        <f aca="true" t="shared" si="62" ref="U79:U84">+S79+T79</f>
        <v>0</v>
      </c>
      <c r="V79" s="18">
        <v>0</v>
      </c>
      <c r="W79" s="58">
        <f aca="true" t="shared" si="63" ref="W79:W84">+U79+V79</f>
        <v>0</v>
      </c>
      <c r="X79" s="18">
        <v>0</v>
      </c>
      <c r="Y79" s="58">
        <f aca="true" t="shared" si="64" ref="Y79:Y84">+W79+X79</f>
        <v>0</v>
      </c>
      <c r="Z79" s="18">
        <v>0</v>
      </c>
      <c r="AA79" s="58">
        <f aca="true" t="shared" si="65" ref="AA79:AA84">+Y79+Z79</f>
        <v>0</v>
      </c>
      <c r="AB79" s="18">
        <v>0</v>
      </c>
      <c r="AC79" s="15">
        <f aca="true" t="shared" si="66" ref="AC79:AC84">+AA79+AB79</f>
        <v>0</v>
      </c>
      <c r="AD79" s="15">
        <f aca="true" t="shared" si="67" ref="AD79:AD84">+E79-AC79</f>
        <v>0</v>
      </c>
    </row>
    <row r="80" spans="1:30" ht="15">
      <c r="A80" s="29"/>
      <c r="B80" s="57">
        <v>2521</v>
      </c>
      <c r="C80" s="26" t="s">
        <v>191</v>
      </c>
      <c r="D80" s="18">
        <v>0</v>
      </c>
      <c r="E80" s="18">
        <v>0</v>
      </c>
      <c r="F80" s="18">
        <v>0</v>
      </c>
      <c r="G80" s="58">
        <f t="shared" si="55"/>
        <v>0</v>
      </c>
      <c r="H80" s="18">
        <v>0</v>
      </c>
      <c r="I80" s="58">
        <f t="shared" si="56"/>
        <v>0</v>
      </c>
      <c r="J80" s="18">
        <v>0</v>
      </c>
      <c r="K80" s="58">
        <f t="shared" si="57"/>
        <v>0</v>
      </c>
      <c r="L80" s="18">
        <v>0</v>
      </c>
      <c r="M80" s="58">
        <f t="shared" si="58"/>
        <v>0</v>
      </c>
      <c r="N80" s="18">
        <v>0</v>
      </c>
      <c r="O80" s="58">
        <f t="shared" si="59"/>
        <v>0</v>
      </c>
      <c r="P80" s="18">
        <v>0</v>
      </c>
      <c r="Q80" s="58">
        <f t="shared" si="60"/>
        <v>0</v>
      </c>
      <c r="R80" s="18">
        <v>0</v>
      </c>
      <c r="S80" s="58">
        <f t="shared" si="61"/>
        <v>0</v>
      </c>
      <c r="T80" s="18">
        <v>0</v>
      </c>
      <c r="U80" s="58">
        <f t="shared" si="62"/>
        <v>0</v>
      </c>
      <c r="V80" s="18">
        <v>0</v>
      </c>
      <c r="W80" s="58">
        <f t="shared" si="63"/>
        <v>0</v>
      </c>
      <c r="X80" s="18">
        <v>0</v>
      </c>
      <c r="Y80" s="58">
        <f t="shared" si="64"/>
        <v>0</v>
      </c>
      <c r="Z80" s="18">
        <v>0</v>
      </c>
      <c r="AA80" s="58">
        <f t="shared" si="65"/>
        <v>0</v>
      </c>
      <c r="AB80" s="18">
        <v>0</v>
      </c>
      <c r="AC80" s="15">
        <f t="shared" si="66"/>
        <v>0</v>
      </c>
      <c r="AD80" s="15">
        <f t="shared" si="67"/>
        <v>0</v>
      </c>
    </row>
    <row r="81" spans="1:30" ht="15.75">
      <c r="A81" s="29"/>
      <c r="B81" s="57">
        <v>2531</v>
      </c>
      <c r="C81" s="14" t="s">
        <v>44</v>
      </c>
      <c r="D81" s="18">
        <v>70000</v>
      </c>
      <c r="E81" s="188">
        <f>70000-4000+526.8-332.11-50000</f>
        <v>16194.690000000002</v>
      </c>
      <c r="F81" s="18">
        <v>20000</v>
      </c>
      <c r="G81" s="58">
        <f t="shared" si="55"/>
        <v>20000</v>
      </c>
      <c r="H81" s="18">
        <v>0</v>
      </c>
      <c r="I81" s="58">
        <f t="shared" si="56"/>
        <v>20000</v>
      </c>
      <c r="J81" s="188">
        <f>0-4000</f>
        <v>-4000</v>
      </c>
      <c r="K81" s="58">
        <f t="shared" si="57"/>
        <v>16000</v>
      </c>
      <c r="L81" s="18">
        <v>0</v>
      </c>
      <c r="M81" s="58">
        <f t="shared" si="58"/>
        <v>16000</v>
      </c>
      <c r="N81" s="188">
        <f>0+526.8</f>
        <v>526.8</v>
      </c>
      <c r="O81" s="58">
        <f t="shared" si="59"/>
        <v>16526.8</v>
      </c>
      <c r="P81" s="18">
        <v>0</v>
      </c>
      <c r="Q81" s="58">
        <f t="shared" si="60"/>
        <v>16526.8</v>
      </c>
      <c r="R81" s="18">
        <v>0</v>
      </c>
      <c r="S81" s="58">
        <f t="shared" si="61"/>
        <v>16526.8</v>
      </c>
      <c r="T81" s="18">
        <v>0</v>
      </c>
      <c r="U81" s="58">
        <f t="shared" si="62"/>
        <v>16526.8</v>
      </c>
      <c r="V81" s="18">
        <v>0</v>
      </c>
      <c r="W81" s="58">
        <f t="shared" si="63"/>
        <v>16526.8</v>
      </c>
      <c r="X81" s="18">
        <v>0</v>
      </c>
      <c r="Y81" s="58">
        <f t="shared" si="64"/>
        <v>16526.8</v>
      </c>
      <c r="Z81" s="188">
        <f>50000-50000</f>
        <v>0</v>
      </c>
      <c r="AA81" s="58">
        <f t="shared" si="65"/>
        <v>16526.8</v>
      </c>
      <c r="AB81" s="188">
        <f>50000-332.11-50000</f>
        <v>-332.1100000000006</v>
      </c>
      <c r="AC81" s="15">
        <f t="shared" si="66"/>
        <v>16194.689999999999</v>
      </c>
      <c r="AD81" s="15">
        <f t="shared" si="67"/>
        <v>0</v>
      </c>
    </row>
    <row r="82" spans="1:30" ht="15.75">
      <c r="A82" s="29"/>
      <c r="B82" s="57">
        <v>2541</v>
      </c>
      <c r="C82" s="14" t="s">
        <v>45</v>
      </c>
      <c r="D82" s="18">
        <v>50000</v>
      </c>
      <c r="E82" s="188">
        <f>50000+43.8-10910.29-30000</f>
        <v>9133.510000000002</v>
      </c>
      <c r="F82" s="18">
        <v>20000</v>
      </c>
      <c r="G82" s="58">
        <f t="shared" si="55"/>
        <v>20000</v>
      </c>
      <c r="H82" s="18">
        <v>0</v>
      </c>
      <c r="I82" s="58">
        <f t="shared" si="56"/>
        <v>20000</v>
      </c>
      <c r="J82" s="18">
        <v>0</v>
      </c>
      <c r="K82" s="58">
        <f t="shared" si="57"/>
        <v>20000</v>
      </c>
      <c r="L82" s="18">
        <v>0</v>
      </c>
      <c r="M82" s="58">
        <f t="shared" si="58"/>
        <v>20000</v>
      </c>
      <c r="N82" s="188">
        <f>0+43.8</f>
        <v>43.8</v>
      </c>
      <c r="O82" s="58">
        <f t="shared" si="59"/>
        <v>20043.8</v>
      </c>
      <c r="P82" s="18">
        <v>0</v>
      </c>
      <c r="Q82" s="58">
        <f t="shared" si="60"/>
        <v>20043.8</v>
      </c>
      <c r="R82" s="18">
        <v>0</v>
      </c>
      <c r="S82" s="58">
        <f t="shared" si="61"/>
        <v>20043.8</v>
      </c>
      <c r="T82" s="18">
        <v>0</v>
      </c>
      <c r="U82" s="58">
        <f t="shared" si="62"/>
        <v>20043.8</v>
      </c>
      <c r="V82" s="18">
        <v>0</v>
      </c>
      <c r="W82" s="58">
        <f t="shared" si="63"/>
        <v>20043.8</v>
      </c>
      <c r="X82" s="18">
        <v>0</v>
      </c>
      <c r="Y82" s="58">
        <f t="shared" si="64"/>
        <v>20043.8</v>
      </c>
      <c r="Z82" s="188">
        <f>30000-30000</f>
        <v>0</v>
      </c>
      <c r="AA82" s="58">
        <f t="shared" si="65"/>
        <v>20043.8</v>
      </c>
      <c r="AB82" s="188">
        <f>0+30000-10910.29-30000</f>
        <v>-10910.29</v>
      </c>
      <c r="AC82" s="15">
        <f t="shared" si="66"/>
        <v>9133.509999999998</v>
      </c>
      <c r="AD82" s="15">
        <f t="shared" si="67"/>
        <v>0</v>
      </c>
    </row>
    <row r="83" spans="1:30" ht="15">
      <c r="A83" s="29"/>
      <c r="B83" s="57">
        <v>2551</v>
      </c>
      <c r="C83" s="14" t="s">
        <v>7</v>
      </c>
      <c r="D83" s="18">
        <v>0</v>
      </c>
      <c r="E83" s="18">
        <v>0</v>
      </c>
      <c r="F83" s="18">
        <v>0</v>
      </c>
      <c r="G83" s="58">
        <f t="shared" si="55"/>
        <v>0</v>
      </c>
      <c r="H83" s="18">
        <v>0</v>
      </c>
      <c r="I83" s="58">
        <f t="shared" si="56"/>
        <v>0</v>
      </c>
      <c r="J83" s="18">
        <v>0</v>
      </c>
      <c r="K83" s="58">
        <f t="shared" si="57"/>
        <v>0</v>
      </c>
      <c r="L83" s="18">
        <v>0</v>
      </c>
      <c r="M83" s="58">
        <f t="shared" si="58"/>
        <v>0</v>
      </c>
      <c r="N83" s="18">
        <v>0</v>
      </c>
      <c r="O83" s="58">
        <f t="shared" si="59"/>
        <v>0</v>
      </c>
      <c r="P83" s="18">
        <v>0</v>
      </c>
      <c r="Q83" s="58">
        <f t="shared" si="60"/>
        <v>0</v>
      </c>
      <c r="R83" s="18">
        <v>0</v>
      </c>
      <c r="S83" s="58">
        <f t="shared" si="61"/>
        <v>0</v>
      </c>
      <c r="T83" s="18">
        <v>0</v>
      </c>
      <c r="U83" s="58">
        <f t="shared" si="62"/>
        <v>0</v>
      </c>
      <c r="V83" s="18">
        <v>0</v>
      </c>
      <c r="W83" s="58">
        <f t="shared" si="63"/>
        <v>0</v>
      </c>
      <c r="X83" s="18">
        <v>0</v>
      </c>
      <c r="Y83" s="58">
        <f t="shared" si="64"/>
        <v>0</v>
      </c>
      <c r="Z83" s="18">
        <v>0</v>
      </c>
      <c r="AA83" s="58">
        <f t="shared" si="65"/>
        <v>0</v>
      </c>
      <c r="AB83" s="18">
        <v>0</v>
      </c>
      <c r="AC83" s="15">
        <f t="shared" si="66"/>
        <v>0</v>
      </c>
      <c r="AD83" s="15">
        <f t="shared" si="67"/>
        <v>0</v>
      </c>
    </row>
    <row r="84" spans="1:30" ht="15.75">
      <c r="A84" s="29"/>
      <c r="B84" s="57">
        <v>2561</v>
      </c>
      <c r="C84" s="14" t="s">
        <v>194</v>
      </c>
      <c r="D84" s="18">
        <v>0</v>
      </c>
      <c r="E84" s="188">
        <f>0+52000-4651.12+1792.42+194.24+120+141</f>
        <v>49596.53999999999</v>
      </c>
      <c r="F84" s="18">
        <v>0</v>
      </c>
      <c r="G84" s="58">
        <f t="shared" si="55"/>
        <v>0</v>
      </c>
      <c r="H84" s="18">
        <v>0</v>
      </c>
      <c r="I84" s="58">
        <f t="shared" si="56"/>
        <v>0</v>
      </c>
      <c r="J84" s="18">
        <v>0</v>
      </c>
      <c r="K84" s="58">
        <f t="shared" si="57"/>
        <v>0</v>
      </c>
      <c r="L84" s="18">
        <v>0</v>
      </c>
      <c r="M84" s="58">
        <f t="shared" si="58"/>
        <v>0</v>
      </c>
      <c r="N84" s="188">
        <f>0+52000</f>
        <v>52000</v>
      </c>
      <c r="O84" s="58">
        <f t="shared" si="59"/>
        <v>52000</v>
      </c>
      <c r="P84" s="18">
        <v>0</v>
      </c>
      <c r="Q84" s="58">
        <f t="shared" si="60"/>
        <v>52000</v>
      </c>
      <c r="R84" s="188">
        <f>0-4651.12</f>
        <v>-4651.12</v>
      </c>
      <c r="S84" s="58">
        <f t="shared" si="61"/>
        <v>47348.88</v>
      </c>
      <c r="T84" s="188">
        <f>0+1792.42</f>
        <v>1792.42</v>
      </c>
      <c r="U84" s="58">
        <f t="shared" si="62"/>
        <v>49141.299999999996</v>
      </c>
      <c r="V84" s="188">
        <f>0+194.24</f>
        <v>194.24</v>
      </c>
      <c r="W84" s="58">
        <f t="shared" si="63"/>
        <v>49335.53999999999</v>
      </c>
      <c r="X84" s="188">
        <f>0+120</f>
        <v>120</v>
      </c>
      <c r="Y84" s="58">
        <f t="shared" si="64"/>
        <v>49455.53999999999</v>
      </c>
      <c r="Z84" s="188">
        <f>0+141</f>
        <v>141</v>
      </c>
      <c r="AA84" s="58">
        <f t="shared" si="65"/>
        <v>49596.53999999999</v>
      </c>
      <c r="AB84" s="18">
        <v>0</v>
      </c>
      <c r="AC84" s="15">
        <f t="shared" si="66"/>
        <v>49596.53999999999</v>
      </c>
      <c r="AD84" s="15">
        <f t="shared" si="67"/>
        <v>0</v>
      </c>
    </row>
    <row r="85" spans="1:30" ht="15">
      <c r="A85" s="2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41"/>
    </row>
    <row r="86" spans="1:30" ht="15.75">
      <c r="A86" s="29"/>
      <c r="B86" s="69">
        <v>2600</v>
      </c>
      <c r="C86" s="67" t="s">
        <v>14</v>
      </c>
      <c r="D86" s="70">
        <f aca="true" t="shared" si="68" ref="D86:AD86">SUM(D87:D87)</f>
        <v>300000</v>
      </c>
      <c r="E86" s="70">
        <f t="shared" si="68"/>
        <v>208037.99000000002</v>
      </c>
      <c r="F86" s="70">
        <f t="shared" si="68"/>
        <v>240000.6</v>
      </c>
      <c r="G86" s="70">
        <f t="shared" si="68"/>
        <v>240000.6</v>
      </c>
      <c r="H86" s="70">
        <f t="shared" si="68"/>
        <v>0</v>
      </c>
      <c r="I86" s="70">
        <f t="shared" si="68"/>
        <v>240000.6</v>
      </c>
      <c r="J86" s="70">
        <f t="shared" si="68"/>
        <v>0</v>
      </c>
      <c r="K86" s="70">
        <f t="shared" si="68"/>
        <v>240000.6</v>
      </c>
      <c r="L86" s="70">
        <f t="shared" si="68"/>
        <v>0</v>
      </c>
      <c r="M86" s="70">
        <f t="shared" si="68"/>
        <v>240000.6</v>
      </c>
      <c r="N86" s="70">
        <f t="shared" si="68"/>
        <v>0</v>
      </c>
      <c r="O86" s="70">
        <f t="shared" si="68"/>
        <v>240000.6</v>
      </c>
      <c r="P86" s="70">
        <f t="shared" si="68"/>
        <v>0</v>
      </c>
      <c r="Q86" s="70">
        <f t="shared" si="68"/>
        <v>240000.6</v>
      </c>
      <c r="R86" s="70">
        <f t="shared" si="68"/>
        <v>-52000.6</v>
      </c>
      <c r="S86" s="70">
        <f t="shared" si="68"/>
        <v>188000</v>
      </c>
      <c r="T86" s="70">
        <f t="shared" si="68"/>
        <v>37.99</v>
      </c>
      <c r="U86" s="70">
        <f t="shared" si="68"/>
        <v>188037.99</v>
      </c>
      <c r="V86" s="70">
        <f t="shared" si="68"/>
        <v>0</v>
      </c>
      <c r="W86" s="70">
        <f t="shared" si="68"/>
        <v>188037.99</v>
      </c>
      <c r="X86" s="70">
        <f t="shared" si="68"/>
        <v>0</v>
      </c>
      <c r="Y86" s="70">
        <f t="shared" si="68"/>
        <v>188037.99</v>
      </c>
      <c r="Z86" s="70">
        <f t="shared" si="68"/>
        <v>19999.999999999993</v>
      </c>
      <c r="AA86" s="70">
        <f t="shared" si="68"/>
        <v>208037.99</v>
      </c>
      <c r="AB86" s="70">
        <f t="shared" si="68"/>
        <v>0</v>
      </c>
      <c r="AC86" s="70">
        <f t="shared" si="68"/>
        <v>208037.99</v>
      </c>
      <c r="AD86" s="70">
        <f t="shared" si="68"/>
        <v>0</v>
      </c>
    </row>
    <row r="87" spans="1:30" ht="15.75">
      <c r="A87" s="29"/>
      <c r="B87" s="78">
        <v>2611</v>
      </c>
      <c r="C87" s="8" t="s">
        <v>116</v>
      </c>
      <c r="D87" s="18">
        <v>300000</v>
      </c>
      <c r="E87" s="188">
        <f>300000-52000.6+37.99+20000-59999.4</f>
        <v>208037.99000000002</v>
      </c>
      <c r="F87" s="18">
        <v>240000.6</v>
      </c>
      <c r="G87" s="58">
        <f>+F87</f>
        <v>240000.6</v>
      </c>
      <c r="H87" s="18">
        <v>0</v>
      </c>
      <c r="I87" s="58">
        <f>+G87+H87</f>
        <v>240000.6</v>
      </c>
      <c r="J87" s="18">
        <v>0</v>
      </c>
      <c r="K87" s="58">
        <f>+I87+J87</f>
        <v>240000.6</v>
      </c>
      <c r="L87" s="18">
        <v>0</v>
      </c>
      <c r="M87" s="58">
        <f>+K87+L87</f>
        <v>240000.6</v>
      </c>
      <c r="N87" s="18">
        <v>0</v>
      </c>
      <c r="O87" s="58">
        <f>+M87+N87</f>
        <v>240000.6</v>
      </c>
      <c r="P87" s="18">
        <v>0</v>
      </c>
      <c r="Q87" s="58">
        <f>+O87+P87</f>
        <v>240000.6</v>
      </c>
      <c r="R87" s="188">
        <f>0-52000.6</f>
        <v>-52000.6</v>
      </c>
      <c r="S87" s="58">
        <f>+Q87+R87</f>
        <v>188000</v>
      </c>
      <c r="T87" s="188">
        <f>0+37.99</f>
        <v>37.99</v>
      </c>
      <c r="U87" s="58">
        <f>+S87+T87</f>
        <v>188037.99</v>
      </c>
      <c r="V87" s="18">
        <v>0</v>
      </c>
      <c r="W87" s="58">
        <f>+U87+V87</f>
        <v>188037.99</v>
      </c>
      <c r="X87" s="18">
        <v>0</v>
      </c>
      <c r="Y87" s="58">
        <f>+W87+X87</f>
        <v>188037.99</v>
      </c>
      <c r="Z87" s="188">
        <f>59999.4+20000-59999.4</f>
        <v>19999.999999999993</v>
      </c>
      <c r="AA87" s="58">
        <f>+Y87+Z87</f>
        <v>208037.99</v>
      </c>
      <c r="AB87" s="188">
        <f>0+59999.4-59999.4</f>
        <v>0</v>
      </c>
      <c r="AC87" s="15">
        <f>+AA87+AB87</f>
        <v>208037.99</v>
      </c>
      <c r="AD87" s="15">
        <f>+E87-AC87</f>
        <v>0</v>
      </c>
    </row>
    <row r="88" spans="1:30" ht="15.75">
      <c r="A88" s="29"/>
      <c r="D88" s="15"/>
      <c r="E88" s="15"/>
      <c r="F88" s="15"/>
      <c r="G88" s="15"/>
      <c r="H88" s="15"/>
      <c r="I88" s="2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41"/>
    </row>
    <row r="89" spans="1:30" ht="15.75">
      <c r="A89" s="29"/>
      <c r="B89" s="69">
        <v>2700</v>
      </c>
      <c r="C89" s="67" t="s">
        <v>13</v>
      </c>
      <c r="D89" s="70">
        <f>SUM(D90:D93)</f>
        <v>54047.76</v>
      </c>
      <c r="E89" s="70">
        <f aca="true" t="shared" si="69" ref="E89:AD89">SUM(E90:E93)</f>
        <v>14578.17</v>
      </c>
      <c r="F89" s="70">
        <f t="shared" si="69"/>
        <v>0</v>
      </c>
      <c r="G89" s="70">
        <f t="shared" si="69"/>
        <v>0</v>
      </c>
      <c r="H89" s="70">
        <f t="shared" si="69"/>
        <v>0</v>
      </c>
      <c r="I89" s="70">
        <f t="shared" si="69"/>
        <v>0</v>
      </c>
      <c r="J89" s="70">
        <f t="shared" si="69"/>
        <v>0</v>
      </c>
      <c r="K89" s="70">
        <f t="shared" si="69"/>
        <v>0</v>
      </c>
      <c r="L89" s="70">
        <f t="shared" si="69"/>
        <v>23022.260000000002</v>
      </c>
      <c r="M89" s="70">
        <f t="shared" si="69"/>
        <v>23022.260000000002</v>
      </c>
      <c r="N89" s="70">
        <f t="shared" si="69"/>
        <v>0</v>
      </c>
      <c r="O89" s="70">
        <f t="shared" si="69"/>
        <v>23022.260000000002</v>
      </c>
      <c r="P89" s="70">
        <f t="shared" si="69"/>
        <v>0</v>
      </c>
      <c r="Q89" s="70">
        <f t="shared" si="69"/>
        <v>23022.260000000002</v>
      </c>
      <c r="R89" s="70">
        <f t="shared" si="69"/>
        <v>5062.5</v>
      </c>
      <c r="S89" s="70">
        <f t="shared" si="69"/>
        <v>28084.760000000002</v>
      </c>
      <c r="T89" s="70">
        <f t="shared" si="69"/>
        <v>0</v>
      </c>
      <c r="U89" s="70">
        <f t="shared" si="69"/>
        <v>28084.760000000002</v>
      </c>
      <c r="V89" s="70">
        <f t="shared" si="69"/>
        <v>0</v>
      </c>
      <c r="W89" s="70">
        <f t="shared" si="69"/>
        <v>28084.760000000002</v>
      </c>
      <c r="X89" s="70">
        <f t="shared" si="69"/>
        <v>4500</v>
      </c>
      <c r="Y89" s="70">
        <f t="shared" si="69"/>
        <v>32584.760000000002</v>
      </c>
      <c r="Z89" s="70">
        <f t="shared" si="69"/>
        <v>-20000</v>
      </c>
      <c r="AA89" s="70">
        <f t="shared" si="69"/>
        <v>12584.760000000002</v>
      </c>
      <c r="AB89" s="70">
        <f t="shared" si="69"/>
        <v>1993.4100000000049</v>
      </c>
      <c r="AC89" s="70">
        <f t="shared" si="69"/>
        <v>14578.170000000007</v>
      </c>
      <c r="AD89" s="70">
        <f t="shared" si="69"/>
        <v>0</v>
      </c>
    </row>
    <row r="90" spans="1:31" ht="15">
      <c r="A90" s="29"/>
      <c r="B90" s="57">
        <v>2711</v>
      </c>
      <c r="C90" s="14" t="s">
        <v>117</v>
      </c>
      <c r="D90" s="18">
        <v>0</v>
      </c>
      <c r="E90" s="18">
        <v>0</v>
      </c>
      <c r="F90" s="18">
        <v>0</v>
      </c>
      <c r="G90" s="58">
        <f>+F90</f>
        <v>0</v>
      </c>
      <c r="H90" s="18">
        <v>0</v>
      </c>
      <c r="I90" s="58">
        <f>+G90+H90</f>
        <v>0</v>
      </c>
      <c r="J90" s="18">
        <v>0</v>
      </c>
      <c r="K90" s="58">
        <f>+I90+J90</f>
        <v>0</v>
      </c>
      <c r="L90" s="18">
        <v>0</v>
      </c>
      <c r="M90" s="58">
        <f>+K90+L90</f>
        <v>0</v>
      </c>
      <c r="N90" s="18">
        <v>0</v>
      </c>
      <c r="O90" s="58">
        <f>+M90+N90</f>
        <v>0</v>
      </c>
      <c r="P90" s="18">
        <v>0</v>
      </c>
      <c r="Q90" s="58">
        <f>+O90+P90</f>
        <v>0</v>
      </c>
      <c r="R90" s="18">
        <v>0</v>
      </c>
      <c r="S90" s="58">
        <f>+Q90+R90</f>
        <v>0</v>
      </c>
      <c r="T90" s="18">
        <v>0</v>
      </c>
      <c r="U90" s="58">
        <f>+S90+T90</f>
        <v>0</v>
      </c>
      <c r="V90" s="18">
        <v>0</v>
      </c>
      <c r="W90" s="58">
        <f>+U90+V90</f>
        <v>0</v>
      </c>
      <c r="X90" s="18">
        <v>0</v>
      </c>
      <c r="Y90" s="58">
        <f>+W90+X90</f>
        <v>0</v>
      </c>
      <c r="Z90" s="18">
        <v>0</v>
      </c>
      <c r="AA90" s="58">
        <f>+Y90+Z90</f>
        <v>0</v>
      </c>
      <c r="AB90" s="18">
        <v>0</v>
      </c>
      <c r="AC90" s="15">
        <f>+AA90+AB90</f>
        <v>0</v>
      </c>
      <c r="AD90" s="15">
        <f>+E90-AC90</f>
        <v>0</v>
      </c>
      <c r="AE90" s="15"/>
    </row>
    <row r="91" spans="1:31" ht="15.75">
      <c r="A91" s="29"/>
      <c r="B91" s="8">
        <v>2721</v>
      </c>
      <c r="C91" s="8" t="s">
        <v>118</v>
      </c>
      <c r="D91" s="18">
        <v>54047.76</v>
      </c>
      <c r="E91" s="188">
        <f>54047.76-20000+9057.8-6999.99-26063</f>
        <v>10042.57</v>
      </c>
      <c r="F91" s="18">
        <v>0</v>
      </c>
      <c r="G91" s="58">
        <f>+F91</f>
        <v>0</v>
      </c>
      <c r="H91" s="18">
        <v>0</v>
      </c>
      <c r="I91" s="58">
        <f>+G91+H91</f>
        <v>0</v>
      </c>
      <c r="J91" s="18">
        <v>0</v>
      </c>
      <c r="K91" s="58">
        <f>+I91+J91</f>
        <v>0</v>
      </c>
      <c r="L91" s="18">
        <v>22922.260000000002</v>
      </c>
      <c r="M91" s="58">
        <f>+K91+L91</f>
        <v>22922.260000000002</v>
      </c>
      <c r="N91" s="18">
        <v>0</v>
      </c>
      <c r="O91" s="58">
        <f>+M91+N91</f>
        <v>22922.260000000002</v>
      </c>
      <c r="P91" s="18">
        <v>0</v>
      </c>
      <c r="Q91" s="58">
        <f>+O91+P91</f>
        <v>22922.260000000002</v>
      </c>
      <c r="R91" s="18">
        <v>5062.5</v>
      </c>
      <c r="S91" s="58">
        <f>+Q91+R91</f>
        <v>27984.760000000002</v>
      </c>
      <c r="T91" s="18">
        <v>0</v>
      </c>
      <c r="U91" s="58">
        <f>+S91+T91</f>
        <v>27984.760000000002</v>
      </c>
      <c r="V91" s="18">
        <v>0</v>
      </c>
      <c r="W91" s="58">
        <f>+U91+V91</f>
        <v>27984.760000000002</v>
      </c>
      <c r="X91" s="18">
        <v>0</v>
      </c>
      <c r="Y91" s="58">
        <f>+W91+X91</f>
        <v>27984.760000000002</v>
      </c>
      <c r="Z91" s="188">
        <f>26063-20000-26063</f>
        <v>-20000</v>
      </c>
      <c r="AA91" s="58">
        <f>+Y91+Z91</f>
        <v>7984.760000000002</v>
      </c>
      <c r="AB91" s="188">
        <f>0+26063+9057.8-6999.99-26063</f>
        <v>2057.810000000005</v>
      </c>
      <c r="AC91" s="15">
        <f>+AA91+AB91</f>
        <v>10042.570000000007</v>
      </c>
      <c r="AD91" s="15">
        <f>+E91-AC91</f>
        <v>0</v>
      </c>
      <c r="AE91" s="15"/>
    </row>
    <row r="92" spans="1:31" ht="15.75">
      <c r="A92" s="29"/>
      <c r="B92" s="8">
        <v>2741</v>
      </c>
      <c r="C92" s="8" t="s">
        <v>232</v>
      </c>
      <c r="D92" s="18">
        <v>0</v>
      </c>
      <c r="E92" s="188">
        <f>0+100-30.4</f>
        <v>69.6</v>
      </c>
      <c r="F92" s="18">
        <v>0</v>
      </c>
      <c r="G92" s="58">
        <f>+F92</f>
        <v>0</v>
      </c>
      <c r="H92" s="18">
        <v>0</v>
      </c>
      <c r="I92" s="58">
        <f>+G92+H92</f>
        <v>0</v>
      </c>
      <c r="J92" s="18">
        <v>0</v>
      </c>
      <c r="K92" s="58">
        <f>+I92+J92</f>
        <v>0</v>
      </c>
      <c r="L92" s="188">
        <f>0+100</f>
        <v>100</v>
      </c>
      <c r="M92" s="58">
        <f>+K92+L92</f>
        <v>100</v>
      </c>
      <c r="N92" s="18">
        <v>0</v>
      </c>
      <c r="O92" s="58">
        <f>+M92+N92</f>
        <v>100</v>
      </c>
      <c r="P92" s="18">
        <v>0</v>
      </c>
      <c r="Q92" s="58">
        <f>+O92+P92</f>
        <v>100</v>
      </c>
      <c r="R92" s="18">
        <v>0</v>
      </c>
      <c r="S92" s="58">
        <f>+Q92+R92</f>
        <v>100</v>
      </c>
      <c r="T92" s="18">
        <v>0</v>
      </c>
      <c r="U92" s="58">
        <f>+S92+T92</f>
        <v>100</v>
      </c>
      <c r="V92" s="18">
        <v>0</v>
      </c>
      <c r="W92" s="58">
        <f>+U92+V92</f>
        <v>100</v>
      </c>
      <c r="X92" s="18">
        <v>0</v>
      </c>
      <c r="Y92" s="58">
        <f>+W92+X92</f>
        <v>100</v>
      </c>
      <c r="Z92" s="18">
        <v>0</v>
      </c>
      <c r="AA92" s="58">
        <f>+Y92+Z92</f>
        <v>100</v>
      </c>
      <c r="AB92" s="188">
        <f>0-30.4</f>
        <v>-30.4</v>
      </c>
      <c r="AC92" s="15">
        <f>+AA92+AB92</f>
        <v>69.6</v>
      </c>
      <c r="AD92" s="15">
        <f>+E92-AC92</f>
        <v>0</v>
      </c>
      <c r="AE92" s="15"/>
    </row>
    <row r="93" spans="1:30" ht="15.75">
      <c r="A93" s="29"/>
      <c r="B93" s="8">
        <v>2751</v>
      </c>
      <c r="C93" s="8" t="s">
        <v>243</v>
      </c>
      <c r="D93" s="18">
        <v>0</v>
      </c>
      <c r="E93" s="188">
        <f>0+4500-34</f>
        <v>4466</v>
      </c>
      <c r="F93" s="18">
        <v>0</v>
      </c>
      <c r="G93" s="58">
        <f>+F93</f>
        <v>0</v>
      </c>
      <c r="H93" s="18">
        <v>0</v>
      </c>
      <c r="I93" s="58">
        <f>+G93+H93</f>
        <v>0</v>
      </c>
      <c r="J93" s="18">
        <v>0</v>
      </c>
      <c r="K93" s="58">
        <f>+I93+J93</f>
        <v>0</v>
      </c>
      <c r="L93" s="18">
        <v>0</v>
      </c>
      <c r="M93" s="58">
        <f>+K93+L93</f>
        <v>0</v>
      </c>
      <c r="N93" s="18">
        <v>0</v>
      </c>
      <c r="O93" s="58">
        <f>+M93+N93</f>
        <v>0</v>
      </c>
      <c r="P93" s="18">
        <v>0</v>
      </c>
      <c r="Q93" s="58">
        <f>+O93+P93</f>
        <v>0</v>
      </c>
      <c r="R93" s="18">
        <v>0</v>
      </c>
      <c r="S93" s="58">
        <f>+Q93+R93</f>
        <v>0</v>
      </c>
      <c r="T93" s="18">
        <v>0</v>
      </c>
      <c r="U93" s="58">
        <f>+S93+T93</f>
        <v>0</v>
      </c>
      <c r="V93" s="18">
        <v>0</v>
      </c>
      <c r="W93" s="58">
        <f>+U93+V93</f>
        <v>0</v>
      </c>
      <c r="X93" s="188">
        <f>0+4500</f>
        <v>4500</v>
      </c>
      <c r="Y93" s="58">
        <f>+W93+X93</f>
        <v>4500</v>
      </c>
      <c r="Z93" s="18">
        <v>0</v>
      </c>
      <c r="AA93" s="58">
        <f>+Y93+Z93</f>
        <v>4500</v>
      </c>
      <c r="AB93" s="188">
        <f>0-34</f>
        <v>-34</v>
      </c>
      <c r="AC93" s="15">
        <f>+AA93+AB93</f>
        <v>4466</v>
      </c>
      <c r="AD93" s="15">
        <f>+E93-AC93</f>
        <v>0</v>
      </c>
    </row>
    <row r="94" spans="1:29" ht="15">
      <c r="A94" s="29"/>
      <c r="D94" s="18"/>
      <c r="E94" s="18"/>
      <c r="F94" s="18"/>
      <c r="G94" s="59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8"/>
      <c r="AA94" s="15"/>
      <c r="AB94" s="18"/>
      <c r="AC94" s="15"/>
    </row>
    <row r="95" spans="1:30" ht="15.75">
      <c r="A95" s="29"/>
      <c r="B95" s="16">
        <v>2900</v>
      </c>
      <c r="C95" s="77" t="s">
        <v>176</v>
      </c>
      <c r="D95" s="70">
        <f>SUM(D96:D101)</f>
        <v>258638.8</v>
      </c>
      <c r="E95" s="70">
        <f>SUM(E96:E101)</f>
        <v>51244.55</v>
      </c>
      <c r="F95" s="70">
        <f>SUM(F96:F101)</f>
        <v>0</v>
      </c>
      <c r="G95" s="70">
        <f aca="true" t="shared" si="70" ref="G95:AC95">SUM(G96:G101)</f>
        <v>0</v>
      </c>
      <c r="H95" s="70">
        <f>SUM(H96:H101)</f>
        <v>278.01</v>
      </c>
      <c r="I95" s="70">
        <f t="shared" si="70"/>
        <v>278.01</v>
      </c>
      <c r="J95" s="70">
        <f>SUM(J96:J101)</f>
        <v>116152</v>
      </c>
      <c r="K95" s="70">
        <f t="shared" si="70"/>
        <v>116430.01</v>
      </c>
      <c r="L95" s="70">
        <f>SUM(L96:L101)</f>
        <v>58739.65</v>
      </c>
      <c r="M95" s="70">
        <f t="shared" si="70"/>
        <v>175169.66</v>
      </c>
      <c r="N95" s="70">
        <f>SUM(N96:N101)</f>
        <v>1972</v>
      </c>
      <c r="O95" s="70">
        <f t="shared" si="70"/>
        <v>177141.66</v>
      </c>
      <c r="P95" s="70">
        <f>SUM(P96:P101)</f>
        <v>205</v>
      </c>
      <c r="Q95" s="70">
        <f t="shared" si="70"/>
        <v>177346.66</v>
      </c>
      <c r="R95" s="70">
        <f>SUM(R96:R101)</f>
        <v>2643.43</v>
      </c>
      <c r="S95" s="70">
        <f t="shared" si="70"/>
        <v>179990.09</v>
      </c>
      <c r="T95" s="70">
        <f>SUM(T96:T101)</f>
        <v>2003.8</v>
      </c>
      <c r="U95" s="70">
        <f t="shared" si="70"/>
        <v>181993.88999999998</v>
      </c>
      <c r="V95" s="70">
        <f>SUM(V96:V101)</f>
        <v>2925</v>
      </c>
      <c r="W95" s="70">
        <f t="shared" si="70"/>
        <v>184918.88999999998</v>
      </c>
      <c r="X95" s="70">
        <f>SUM(X96:X101)</f>
        <v>0</v>
      </c>
      <c r="Y95" s="70">
        <f t="shared" si="70"/>
        <v>184918.88999999998</v>
      </c>
      <c r="Z95" s="70">
        <f>SUM(Z96:Z101)</f>
        <v>-114427.43000000001</v>
      </c>
      <c r="AA95" s="70">
        <f t="shared" si="70"/>
        <v>70491.45999999999</v>
      </c>
      <c r="AB95" s="70">
        <f>SUM(AB96:AB101)</f>
        <v>-19246.910000000003</v>
      </c>
      <c r="AC95" s="70">
        <f t="shared" si="70"/>
        <v>51244.549999999996</v>
      </c>
      <c r="AD95" s="70">
        <f>SUM(AD96:AD101)</f>
        <v>7.275957614183426E-12</v>
      </c>
    </row>
    <row r="96" spans="1:30" ht="15.75">
      <c r="A96" s="29"/>
      <c r="B96" s="8">
        <v>2911</v>
      </c>
      <c r="C96" s="40" t="s">
        <v>120</v>
      </c>
      <c r="D96" s="18">
        <v>105032</v>
      </c>
      <c r="E96" s="188">
        <f>105032+152+205+149.5+83-40000+569.99-3304.58-58010</f>
        <v>4876.9100000000035</v>
      </c>
      <c r="F96" s="18">
        <v>0</v>
      </c>
      <c r="G96" s="58">
        <f aca="true" t="shared" si="71" ref="G96:G101">+F96</f>
        <v>0</v>
      </c>
      <c r="H96" s="18">
        <v>0</v>
      </c>
      <c r="I96" s="58">
        <f aca="true" t="shared" si="72" ref="I96:I101">+G96+H96</f>
        <v>0</v>
      </c>
      <c r="J96" s="188">
        <f>0+152</f>
        <v>152</v>
      </c>
      <c r="K96" s="58">
        <f aca="true" t="shared" si="73" ref="K96:K101">+I96+J96</f>
        <v>152</v>
      </c>
      <c r="L96" s="18">
        <v>45444</v>
      </c>
      <c r="M96" s="58">
        <f aca="true" t="shared" si="74" ref="M96:M101">+K96+L96</f>
        <v>45596</v>
      </c>
      <c r="N96" s="18">
        <v>0</v>
      </c>
      <c r="O96" s="58">
        <f aca="true" t="shared" si="75" ref="O96:O101">+M96+N96</f>
        <v>45596</v>
      </c>
      <c r="P96" s="188">
        <f>0+205</f>
        <v>205</v>
      </c>
      <c r="Q96" s="58">
        <f aca="true" t="shared" si="76" ref="Q96:Q101">+O96+P96</f>
        <v>45801</v>
      </c>
      <c r="R96" s="188">
        <f>1578+149.5</f>
        <v>1727.5</v>
      </c>
      <c r="S96" s="58">
        <f aca="true" t="shared" si="77" ref="S96:S101">+Q96+R96</f>
        <v>47528.5</v>
      </c>
      <c r="T96" s="18">
        <v>0</v>
      </c>
      <c r="U96" s="58">
        <f aca="true" t="shared" si="78" ref="U96:U101">+S96+T96</f>
        <v>47528.5</v>
      </c>
      <c r="V96" s="188">
        <f>0+83</f>
        <v>83</v>
      </c>
      <c r="W96" s="58">
        <f aca="true" t="shared" si="79" ref="W96:W101">+U96+V96</f>
        <v>47611.5</v>
      </c>
      <c r="X96" s="18">
        <v>0</v>
      </c>
      <c r="Y96" s="58">
        <f aca="true" t="shared" si="80" ref="Y96:Y101">+W96+X96</f>
        <v>47611.5</v>
      </c>
      <c r="Z96" s="188">
        <f>58010-40000-58010</f>
        <v>-40000</v>
      </c>
      <c r="AA96" s="58">
        <f aca="true" t="shared" si="81" ref="AA96:AA101">+Y96+Z96</f>
        <v>7611.5</v>
      </c>
      <c r="AB96" s="188">
        <f>0+58010+569.99-3304.58-58010</f>
        <v>-2734.590000000004</v>
      </c>
      <c r="AC96" s="15">
        <f aca="true" t="shared" si="82" ref="AC96:AC101">+AA96+AB96</f>
        <v>4876.909999999996</v>
      </c>
      <c r="AD96" s="15">
        <f aca="true" t="shared" si="83" ref="AD96:AD101">+E96-AC96</f>
        <v>7.275957614183426E-12</v>
      </c>
    </row>
    <row r="97" spans="1:30" ht="15.75">
      <c r="A97" s="29"/>
      <c r="B97" s="8">
        <v>2921</v>
      </c>
      <c r="C97" s="40" t="s">
        <v>121</v>
      </c>
      <c r="D97" s="18">
        <v>37606.8</v>
      </c>
      <c r="E97" s="188">
        <f>37606.8+278.01+760.05+915.93+3749.88-12535.6+3672.15-25071.2</f>
        <v>9376.020000000008</v>
      </c>
      <c r="F97" s="18">
        <v>0</v>
      </c>
      <c r="G97" s="58">
        <f t="shared" si="71"/>
        <v>0</v>
      </c>
      <c r="H97" s="188">
        <f>0+278.01</f>
        <v>278.01</v>
      </c>
      <c r="I97" s="58">
        <f t="shared" si="72"/>
        <v>278.01</v>
      </c>
      <c r="J97" s="18">
        <v>0</v>
      </c>
      <c r="K97" s="58">
        <f t="shared" si="73"/>
        <v>278.01</v>
      </c>
      <c r="L97" s="188">
        <f>12535.6+760.05</f>
        <v>13295.65</v>
      </c>
      <c r="M97" s="58">
        <f t="shared" si="74"/>
        <v>13573.66</v>
      </c>
      <c r="N97" s="18">
        <v>0</v>
      </c>
      <c r="O97" s="58">
        <f t="shared" si="75"/>
        <v>13573.66</v>
      </c>
      <c r="P97" s="18">
        <v>0</v>
      </c>
      <c r="Q97" s="58">
        <f t="shared" si="76"/>
        <v>13573.66</v>
      </c>
      <c r="R97" s="188">
        <f>0+915.93</f>
        <v>915.93</v>
      </c>
      <c r="S97" s="58">
        <f t="shared" si="77"/>
        <v>14489.59</v>
      </c>
      <c r="T97" s="18">
        <v>0</v>
      </c>
      <c r="U97" s="58">
        <f t="shared" si="78"/>
        <v>14489.59</v>
      </c>
      <c r="V97" s="18">
        <v>0</v>
      </c>
      <c r="W97" s="58">
        <f t="shared" si="79"/>
        <v>14489.59</v>
      </c>
      <c r="X97" s="18">
        <v>0</v>
      </c>
      <c r="Y97" s="58">
        <f t="shared" si="80"/>
        <v>14489.59</v>
      </c>
      <c r="Z97" s="188">
        <f>25071.2+3749.88-12535.6-25071.2</f>
        <v>-8785.72</v>
      </c>
      <c r="AA97" s="58">
        <f t="shared" si="81"/>
        <v>5703.870000000001</v>
      </c>
      <c r="AB97" s="188">
        <f>0+25071.2+3672.15-25071.2</f>
        <v>3672.1500000000015</v>
      </c>
      <c r="AC97" s="15">
        <f t="shared" si="82"/>
        <v>9376.020000000002</v>
      </c>
      <c r="AD97" s="15">
        <f t="shared" si="83"/>
        <v>0</v>
      </c>
    </row>
    <row r="98" spans="1:30" ht="15.75">
      <c r="A98" s="29"/>
      <c r="B98" s="8">
        <v>2931</v>
      </c>
      <c r="C98" s="40" t="s">
        <v>122</v>
      </c>
      <c r="D98" s="18">
        <v>0</v>
      </c>
      <c r="E98" s="188">
        <f>0+348+2470.8</f>
        <v>2818.8</v>
      </c>
      <c r="F98" s="18">
        <v>0</v>
      </c>
      <c r="G98" s="58">
        <f t="shared" si="71"/>
        <v>0</v>
      </c>
      <c r="H98" s="18">
        <v>0</v>
      </c>
      <c r="I98" s="58">
        <f t="shared" si="72"/>
        <v>0</v>
      </c>
      <c r="J98" s="18">
        <v>0</v>
      </c>
      <c r="K98" s="58">
        <f t="shared" si="73"/>
        <v>0</v>
      </c>
      <c r="L98" s="18">
        <v>0</v>
      </c>
      <c r="M98" s="58">
        <f t="shared" si="74"/>
        <v>0</v>
      </c>
      <c r="N98" s="18">
        <v>0</v>
      </c>
      <c r="O98" s="58">
        <f t="shared" si="75"/>
        <v>0</v>
      </c>
      <c r="P98" s="18">
        <v>0</v>
      </c>
      <c r="Q98" s="58">
        <f t="shared" si="76"/>
        <v>0</v>
      </c>
      <c r="R98" s="18">
        <v>0</v>
      </c>
      <c r="S98" s="58">
        <f t="shared" si="77"/>
        <v>0</v>
      </c>
      <c r="T98" s="18">
        <v>0</v>
      </c>
      <c r="U98" s="58">
        <f t="shared" si="78"/>
        <v>0</v>
      </c>
      <c r="V98" s="18">
        <v>0</v>
      </c>
      <c r="W98" s="58">
        <f t="shared" si="79"/>
        <v>0</v>
      </c>
      <c r="X98" s="18">
        <v>0</v>
      </c>
      <c r="Y98" s="58">
        <f t="shared" si="80"/>
        <v>0</v>
      </c>
      <c r="Z98" s="188">
        <f>0+348</f>
        <v>348</v>
      </c>
      <c r="AA98" s="58">
        <f t="shared" si="81"/>
        <v>348</v>
      </c>
      <c r="AB98" s="188">
        <f>0+2470.8</f>
        <v>2470.8</v>
      </c>
      <c r="AC98" s="15">
        <f t="shared" si="82"/>
        <v>2818.8</v>
      </c>
      <c r="AD98" s="15">
        <f t="shared" si="83"/>
        <v>0</v>
      </c>
    </row>
    <row r="99" spans="1:30" ht="15.75">
      <c r="A99" s="29"/>
      <c r="B99" s="8">
        <v>2941</v>
      </c>
      <c r="C99" s="8" t="s">
        <v>119</v>
      </c>
      <c r="D99" s="18">
        <v>116000</v>
      </c>
      <c r="E99" s="188">
        <f>116000+1972+500-66489.71-24334.27</f>
        <v>27648.019999999993</v>
      </c>
      <c r="F99" s="18">
        <v>0</v>
      </c>
      <c r="G99" s="58">
        <f t="shared" si="71"/>
        <v>0</v>
      </c>
      <c r="H99" s="18">
        <v>0</v>
      </c>
      <c r="I99" s="58">
        <f t="shared" si="72"/>
        <v>0</v>
      </c>
      <c r="J99" s="18">
        <v>116000</v>
      </c>
      <c r="K99" s="58">
        <f t="shared" si="73"/>
        <v>116000</v>
      </c>
      <c r="L99" s="18">
        <v>0</v>
      </c>
      <c r="M99" s="58">
        <f t="shared" si="74"/>
        <v>116000</v>
      </c>
      <c r="N99" s="188">
        <f>0+1972</f>
        <v>1972</v>
      </c>
      <c r="O99" s="58">
        <f t="shared" si="75"/>
        <v>117972</v>
      </c>
      <c r="P99" s="18">
        <v>0</v>
      </c>
      <c r="Q99" s="58">
        <f t="shared" si="76"/>
        <v>117972</v>
      </c>
      <c r="R99" s="18">
        <v>0</v>
      </c>
      <c r="S99" s="58">
        <f t="shared" si="77"/>
        <v>117972</v>
      </c>
      <c r="T99" s="18">
        <v>0</v>
      </c>
      <c r="U99" s="58">
        <f t="shared" si="78"/>
        <v>117972</v>
      </c>
      <c r="V99" s="18">
        <v>0</v>
      </c>
      <c r="W99" s="58">
        <f t="shared" si="79"/>
        <v>117972</v>
      </c>
      <c r="X99" s="18">
        <v>0</v>
      </c>
      <c r="Y99" s="58">
        <f t="shared" si="80"/>
        <v>117972</v>
      </c>
      <c r="Z99" s="188">
        <f>0+500-66489.71</f>
        <v>-65989.71</v>
      </c>
      <c r="AA99" s="58">
        <f t="shared" si="81"/>
        <v>51982.28999999999</v>
      </c>
      <c r="AB99" s="188">
        <f>0-24334.27</f>
        <v>-24334.27</v>
      </c>
      <c r="AC99" s="15">
        <f t="shared" si="82"/>
        <v>27648.019999999993</v>
      </c>
      <c r="AD99" s="15">
        <f t="shared" si="83"/>
        <v>0</v>
      </c>
    </row>
    <row r="100" spans="1:30" ht="15.75">
      <c r="A100" s="29"/>
      <c r="B100" s="8">
        <v>2961</v>
      </c>
      <c r="C100" s="8" t="s">
        <v>240</v>
      </c>
      <c r="D100" s="18">
        <v>0</v>
      </c>
      <c r="E100" s="188">
        <f>0+2003.8+1679</f>
        <v>3682.8</v>
      </c>
      <c r="F100" s="18">
        <v>0</v>
      </c>
      <c r="G100" s="58">
        <f t="shared" si="71"/>
        <v>0</v>
      </c>
      <c r="H100" s="18">
        <v>0</v>
      </c>
      <c r="I100" s="58">
        <f t="shared" si="72"/>
        <v>0</v>
      </c>
      <c r="J100" s="18">
        <v>0</v>
      </c>
      <c r="K100" s="58">
        <f t="shared" si="73"/>
        <v>0</v>
      </c>
      <c r="L100" s="18">
        <v>0</v>
      </c>
      <c r="M100" s="58">
        <f t="shared" si="74"/>
        <v>0</v>
      </c>
      <c r="N100" s="18">
        <v>0</v>
      </c>
      <c r="O100" s="58">
        <f t="shared" si="75"/>
        <v>0</v>
      </c>
      <c r="P100" s="18">
        <v>0</v>
      </c>
      <c r="Q100" s="58">
        <f t="shared" si="76"/>
        <v>0</v>
      </c>
      <c r="R100" s="18">
        <v>0</v>
      </c>
      <c r="S100" s="58">
        <f t="shared" si="77"/>
        <v>0</v>
      </c>
      <c r="T100" s="188">
        <f>0+2003.8</f>
        <v>2003.8</v>
      </c>
      <c r="U100" s="58">
        <f t="shared" si="78"/>
        <v>2003.8</v>
      </c>
      <c r="V100" s="18">
        <v>0</v>
      </c>
      <c r="W100" s="58">
        <f t="shared" si="79"/>
        <v>2003.8</v>
      </c>
      <c r="X100" s="18">
        <v>0</v>
      </c>
      <c r="Y100" s="58">
        <f t="shared" si="80"/>
        <v>2003.8</v>
      </c>
      <c r="Z100" s="18">
        <v>0</v>
      </c>
      <c r="AA100" s="58">
        <f t="shared" si="81"/>
        <v>2003.8</v>
      </c>
      <c r="AB100" s="188">
        <f>0+1679</f>
        <v>1679</v>
      </c>
      <c r="AC100" s="15">
        <f t="shared" si="82"/>
        <v>3682.8</v>
      </c>
      <c r="AD100" s="15">
        <f t="shared" si="83"/>
        <v>0</v>
      </c>
    </row>
    <row r="101" spans="1:30" ht="15.75">
      <c r="A101" s="29"/>
      <c r="B101" s="8">
        <v>2991</v>
      </c>
      <c r="C101" s="8" t="s">
        <v>195</v>
      </c>
      <c r="D101" s="18">
        <v>0</v>
      </c>
      <c r="E101" s="188">
        <f>0+2842</f>
        <v>2842</v>
      </c>
      <c r="F101" s="18">
        <v>0</v>
      </c>
      <c r="G101" s="58">
        <f t="shared" si="71"/>
        <v>0</v>
      </c>
      <c r="H101" s="18">
        <v>0</v>
      </c>
      <c r="I101" s="58">
        <f t="shared" si="72"/>
        <v>0</v>
      </c>
      <c r="J101" s="18">
        <v>0</v>
      </c>
      <c r="K101" s="58">
        <f t="shared" si="73"/>
        <v>0</v>
      </c>
      <c r="L101" s="18">
        <v>0</v>
      </c>
      <c r="M101" s="58">
        <f t="shared" si="74"/>
        <v>0</v>
      </c>
      <c r="N101" s="18">
        <v>0</v>
      </c>
      <c r="O101" s="58">
        <f t="shared" si="75"/>
        <v>0</v>
      </c>
      <c r="P101" s="18">
        <v>0</v>
      </c>
      <c r="Q101" s="58">
        <f t="shared" si="76"/>
        <v>0</v>
      </c>
      <c r="R101" s="18">
        <v>0</v>
      </c>
      <c r="S101" s="58">
        <f t="shared" si="77"/>
        <v>0</v>
      </c>
      <c r="T101" s="18">
        <v>0</v>
      </c>
      <c r="U101" s="58">
        <f t="shared" si="78"/>
        <v>0</v>
      </c>
      <c r="V101" s="188">
        <f>0+2842</f>
        <v>2842</v>
      </c>
      <c r="W101" s="58">
        <f t="shared" si="79"/>
        <v>2842</v>
      </c>
      <c r="X101" s="18">
        <v>0</v>
      </c>
      <c r="Y101" s="58">
        <f t="shared" si="80"/>
        <v>2842</v>
      </c>
      <c r="Z101" s="18">
        <v>0</v>
      </c>
      <c r="AA101" s="58">
        <f t="shared" si="81"/>
        <v>2842</v>
      </c>
      <c r="AB101" s="18">
        <v>0</v>
      </c>
      <c r="AC101" s="15">
        <f t="shared" si="82"/>
        <v>2842</v>
      </c>
      <c r="AD101" s="15">
        <f t="shared" si="83"/>
        <v>0</v>
      </c>
    </row>
    <row r="102" spans="1:29" ht="15">
      <c r="A102" s="29"/>
      <c r="D102" s="18"/>
      <c r="E102" s="18"/>
      <c r="F102" s="18"/>
      <c r="G102" s="59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8"/>
      <c r="AA102" s="15"/>
      <c r="AB102" s="18"/>
      <c r="AC102" s="15"/>
    </row>
    <row r="103" spans="1:30" ht="16.5" thickBot="1">
      <c r="A103" s="29"/>
      <c r="B103" s="75">
        <v>3000</v>
      </c>
      <c r="C103" s="124" t="s">
        <v>38</v>
      </c>
      <c r="D103" s="62">
        <f aca="true" t="shared" si="84" ref="D103:AD103">+D105+D114+D120+D131+D138+D147+D152+D160+D166</f>
        <v>32502606.260000005</v>
      </c>
      <c r="E103" s="62">
        <f>+E105+E114+E120+E131+E138+E147+E152+E160+E166</f>
        <v>36634342.78</v>
      </c>
      <c r="F103" s="62">
        <f>+F105+F114+F120+F131+F138+F147+F152+F160+F166</f>
        <v>2391063.95</v>
      </c>
      <c r="G103" s="62">
        <f t="shared" si="84"/>
        <v>2391063.95</v>
      </c>
      <c r="H103" s="62">
        <f>+H105+H114+H120+H131+H138+H147+H152+H160+H166</f>
        <v>1580950.0399999998</v>
      </c>
      <c r="I103" s="62">
        <f t="shared" si="84"/>
        <v>3972013.99</v>
      </c>
      <c r="J103" s="62">
        <f>+J105+J114+J120+J131+J138+J147+J152+J160+J166</f>
        <v>2305722.5</v>
      </c>
      <c r="K103" s="62">
        <f t="shared" si="84"/>
        <v>6277736.49</v>
      </c>
      <c r="L103" s="62">
        <f>+L105+L114+L120+L131+L138+L147+L152+L160+L166</f>
        <v>1920995.57</v>
      </c>
      <c r="M103" s="62">
        <f t="shared" si="84"/>
        <v>8198732.0600000005</v>
      </c>
      <c r="N103" s="62">
        <f>+N105+N114+N120+N131+N138+N147+N152+N160+N166</f>
        <v>19152473.04</v>
      </c>
      <c r="O103" s="62">
        <f t="shared" si="84"/>
        <v>27351205.1</v>
      </c>
      <c r="P103" s="62">
        <f>+P105+P114+P120+P131+P138+P147+P152+P160+P166</f>
        <v>1409460.1</v>
      </c>
      <c r="Q103" s="62">
        <f t="shared" si="84"/>
        <v>28760665.200000003</v>
      </c>
      <c r="R103" s="62">
        <f>+R105+R114+R120+R131+R138+R147+R152+R160+R166</f>
        <v>2108997.45</v>
      </c>
      <c r="S103" s="62">
        <f t="shared" si="84"/>
        <v>30869662.65</v>
      </c>
      <c r="T103" s="62">
        <f>+T105+T114+T120+T131+T138+T147+T152+T160+T166</f>
        <v>1357483.77</v>
      </c>
      <c r="U103" s="62">
        <f t="shared" si="84"/>
        <v>32227146.42</v>
      </c>
      <c r="V103" s="62">
        <f>+V105+V114+V120+V131+V138+V147+V152+V160+V166</f>
        <v>1841637.0399999998</v>
      </c>
      <c r="W103" s="62">
        <f t="shared" si="84"/>
        <v>34068783.46</v>
      </c>
      <c r="X103" s="62">
        <f>+X105+X114+X120+X131+X138+X147+X152+X160+X166</f>
        <v>1575380.75</v>
      </c>
      <c r="Y103" s="62">
        <f t="shared" si="84"/>
        <v>35644164.21</v>
      </c>
      <c r="Z103" s="62">
        <f>+Z105+Z114+Z120+Z131+Z138+Z147+Z152+Z160+Z166</f>
        <v>1381706.56</v>
      </c>
      <c r="AA103" s="62">
        <f t="shared" si="84"/>
        <v>37025870.77000001</v>
      </c>
      <c r="AB103" s="62">
        <f>+AB105+AB114+AB120+AB131+AB138+AB147+AB152+AB160+AB166</f>
        <v>-391527.99000000046</v>
      </c>
      <c r="AC103" s="62">
        <f t="shared" si="84"/>
        <v>36634342.78</v>
      </c>
      <c r="AD103" s="62">
        <f t="shared" si="84"/>
        <v>0</v>
      </c>
    </row>
    <row r="104" spans="1:30" ht="16.5" thickTop="1">
      <c r="A104" s="29"/>
      <c r="B104" s="63"/>
      <c r="C104" s="7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65"/>
    </row>
    <row r="105" spans="1:30" ht="15.75">
      <c r="A105" s="29"/>
      <c r="B105" s="80">
        <v>3100</v>
      </c>
      <c r="C105" s="67" t="s">
        <v>46</v>
      </c>
      <c r="D105" s="70">
        <f>SUM(D106:D112)</f>
        <v>3034740</v>
      </c>
      <c r="E105" s="70">
        <f>SUM(E106:E112)</f>
        <v>1843454.7899999998</v>
      </c>
      <c r="F105" s="70">
        <f>SUM(F106:F112)</f>
        <v>214378.32</v>
      </c>
      <c r="G105" s="70">
        <f aca="true" t="shared" si="85" ref="G105:AC105">SUM(G106:G112)</f>
        <v>214378.32</v>
      </c>
      <c r="H105" s="70">
        <f>SUM(H106:H112)</f>
        <v>164410.33000000002</v>
      </c>
      <c r="I105" s="70">
        <f t="shared" si="85"/>
        <v>378788.65</v>
      </c>
      <c r="J105" s="70">
        <f>SUM(J106:J112)</f>
        <v>129367.83</v>
      </c>
      <c r="K105" s="70">
        <f t="shared" si="85"/>
        <v>508156.48</v>
      </c>
      <c r="L105" s="70">
        <f>SUM(L106:L112)</f>
        <v>164927.43</v>
      </c>
      <c r="M105" s="70">
        <f t="shared" si="85"/>
        <v>673083.91</v>
      </c>
      <c r="N105" s="70">
        <f>SUM(N106:N112)</f>
        <v>214378.33000000002</v>
      </c>
      <c r="O105" s="70">
        <f t="shared" si="85"/>
        <v>887462.24</v>
      </c>
      <c r="P105" s="70">
        <f>SUM(P106:P112)</f>
        <v>113513.33</v>
      </c>
      <c r="Q105" s="70">
        <f t="shared" si="85"/>
        <v>1000975.5700000001</v>
      </c>
      <c r="R105" s="70">
        <f>SUM(R106:R112)</f>
        <v>173292.40000000002</v>
      </c>
      <c r="S105" s="70">
        <f t="shared" si="85"/>
        <v>1174267.97</v>
      </c>
      <c r="T105" s="70">
        <f>SUM(T106:T112)</f>
        <v>135798.33000000002</v>
      </c>
      <c r="U105" s="70">
        <f t="shared" si="85"/>
        <v>1310066.2999999998</v>
      </c>
      <c r="V105" s="70">
        <f>SUM(V106:V112)</f>
        <v>214412.83000000002</v>
      </c>
      <c r="W105" s="70">
        <f t="shared" si="85"/>
        <v>1524479.13</v>
      </c>
      <c r="X105" s="70">
        <f>SUM(X106:X112)</f>
        <v>66086.48</v>
      </c>
      <c r="Y105" s="70">
        <f t="shared" si="85"/>
        <v>1590565.6099999999</v>
      </c>
      <c r="Z105" s="70">
        <f>SUM(Z106:Z112)</f>
        <v>116876.48</v>
      </c>
      <c r="AA105" s="70">
        <f t="shared" si="85"/>
        <v>1707442.0899999999</v>
      </c>
      <c r="AB105" s="70">
        <f>SUM(AB106:AB112)</f>
        <v>136012.69999999998</v>
      </c>
      <c r="AC105" s="70">
        <f t="shared" si="85"/>
        <v>1843454.7899999998</v>
      </c>
      <c r="AD105" s="70">
        <f>SUM(AD106:AD112)</f>
        <v>0</v>
      </c>
    </row>
    <row r="106" spans="1:31" ht="15.75">
      <c r="A106" s="29"/>
      <c r="B106" s="81">
        <v>3112</v>
      </c>
      <c r="C106" s="26" t="s">
        <v>124</v>
      </c>
      <c r="D106" s="18">
        <v>1700000</v>
      </c>
      <c r="E106" s="188">
        <f>1700000-69025-16000-10581.4+16000-5000-51000+67025-60000-48756.43-29150-47335-45322-383115.83</f>
        <v>1017739.3400000001</v>
      </c>
      <c r="F106" s="18">
        <v>108333.33</v>
      </c>
      <c r="G106" s="58">
        <f aca="true" t="shared" si="86" ref="G106:G112">+F106</f>
        <v>108333.33</v>
      </c>
      <c r="H106" s="18">
        <v>108333.33</v>
      </c>
      <c r="I106" s="58">
        <f aca="true" t="shared" si="87" ref="I106:I112">+G106+H106</f>
        <v>216666.66</v>
      </c>
      <c r="J106" s="188">
        <f>108333.33-69025-16000</f>
        <v>23308.33</v>
      </c>
      <c r="K106" s="58">
        <f aca="true" t="shared" si="88" ref="K106:K112">+I106+J106</f>
        <v>239974.99</v>
      </c>
      <c r="L106" s="188">
        <f>108333.33-10581.4+16000-5000</f>
        <v>108751.93000000001</v>
      </c>
      <c r="M106" s="58">
        <f aca="true" t="shared" si="89" ref="M106:M112">+K106+L106</f>
        <v>348726.92</v>
      </c>
      <c r="N106" s="18">
        <v>108333.33</v>
      </c>
      <c r="O106" s="58">
        <f aca="true" t="shared" si="90" ref="O106:O112">+M106+N106</f>
        <v>457060.25</v>
      </c>
      <c r="P106" s="188">
        <f>108333.33-51000</f>
        <v>57333.33</v>
      </c>
      <c r="Q106" s="58">
        <f aca="true" t="shared" si="91" ref="Q106:Q112">+O106+P106</f>
        <v>514393.58</v>
      </c>
      <c r="R106" s="188">
        <f>108333.33+67025-60000-48756.43</f>
        <v>66601.90000000002</v>
      </c>
      <c r="S106" s="58">
        <f aca="true" t="shared" si="92" ref="S106:S112">+Q106+R106</f>
        <v>580995.48</v>
      </c>
      <c r="T106" s="188">
        <f>108333.33-29150</f>
        <v>79183.33</v>
      </c>
      <c r="U106" s="58">
        <f aca="true" t="shared" si="93" ref="U106:U112">+S106+T106</f>
        <v>660178.8099999999</v>
      </c>
      <c r="V106" s="18">
        <v>108333.33</v>
      </c>
      <c r="W106" s="58">
        <f aca="true" t="shared" si="94" ref="W106:W112">+U106+V106</f>
        <v>768512.1399999999</v>
      </c>
      <c r="X106" s="188">
        <f>108333.33-47335</f>
        <v>60998.33</v>
      </c>
      <c r="Y106" s="58">
        <f aca="true" t="shared" si="95" ref="Y106:Y112">+W106+X106</f>
        <v>829510.4699999999</v>
      </c>
      <c r="Z106" s="18">
        <v>108333.33</v>
      </c>
      <c r="AA106" s="58">
        <f aca="true" t="shared" si="96" ref="AA106:AA112">+Y106+Z106</f>
        <v>937843.7999999998</v>
      </c>
      <c r="AB106" s="188">
        <f>508333.37-45322-383115.83</f>
        <v>79895.53999999998</v>
      </c>
      <c r="AC106" s="15">
        <f aca="true" t="shared" si="97" ref="AC106:AC111">+AA106+AB106</f>
        <v>1017739.3399999999</v>
      </c>
      <c r="AD106" s="15">
        <f aca="true" t="shared" si="98" ref="AD106:AD112">+E106-AC106</f>
        <v>0</v>
      </c>
      <c r="AE106" s="15"/>
    </row>
    <row r="107" spans="1:31" ht="15.75">
      <c r="A107" s="29"/>
      <c r="B107" s="81">
        <v>3131</v>
      </c>
      <c r="C107" s="26" t="s">
        <v>125</v>
      </c>
      <c r="D107" s="18">
        <v>495000</v>
      </c>
      <c r="E107" s="188">
        <f>495000-53000-80000-195398.01+5000</f>
        <v>171601.99</v>
      </c>
      <c r="F107" s="18">
        <f>50000</f>
        <v>50000</v>
      </c>
      <c r="G107" s="58">
        <f t="shared" si="86"/>
        <v>50000</v>
      </c>
      <c r="H107" s="18">
        <v>0</v>
      </c>
      <c r="I107" s="58">
        <f t="shared" si="87"/>
        <v>50000</v>
      </c>
      <c r="J107" s="18">
        <v>50000</v>
      </c>
      <c r="K107" s="58">
        <f t="shared" si="88"/>
        <v>100000</v>
      </c>
      <c r="L107" s="18">
        <v>0</v>
      </c>
      <c r="M107" s="58">
        <f t="shared" si="89"/>
        <v>100000</v>
      </c>
      <c r="N107" s="18">
        <v>50000</v>
      </c>
      <c r="O107" s="58">
        <f t="shared" si="90"/>
        <v>150000</v>
      </c>
      <c r="P107" s="18">
        <v>0</v>
      </c>
      <c r="Q107" s="58">
        <f t="shared" si="91"/>
        <v>150000</v>
      </c>
      <c r="R107" s="18">
        <v>50000</v>
      </c>
      <c r="S107" s="58">
        <f t="shared" si="92"/>
        <v>200000</v>
      </c>
      <c r="T107" s="18">
        <v>0</v>
      </c>
      <c r="U107" s="58">
        <f t="shared" si="93"/>
        <v>200000</v>
      </c>
      <c r="V107" s="18">
        <v>50000</v>
      </c>
      <c r="W107" s="58">
        <f t="shared" si="94"/>
        <v>250000</v>
      </c>
      <c r="X107" s="188">
        <f>0-53000</f>
        <v>-53000</v>
      </c>
      <c r="Y107" s="58">
        <f t="shared" si="95"/>
        <v>197000</v>
      </c>
      <c r="Z107" s="188">
        <f>50000-80000</f>
        <v>-30000</v>
      </c>
      <c r="AA107" s="58">
        <f t="shared" si="96"/>
        <v>167000</v>
      </c>
      <c r="AB107" s="188">
        <f>195000-195398.01+5000</f>
        <v>4601.989999999991</v>
      </c>
      <c r="AC107" s="15">
        <f t="shared" si="97"/>
        <v>171601.99</v>
      </c>
      <c r="AD107" s="15">
        <f t="shared" si="98"/>
        <v>0</v>
      </c>
      <c r="AE107" s="15"/>
    </row>
    <row r="108" spans="1:31" ht="15.75">
      <c r="A108" s="29"/>
      <c r="B108" s="81">
        <v>3141</v>
      </c>
      <c r="C108" s="26" t="s">
        <v>123</v>
      </c>
      <c r="D108" s="18">
        <v>551200</v>
      </c>
      <c r="E108" s="188">
        <f>551200-0.01+29000-50000-170608.09</f>
        <v>359591.9</v>
      </c>
      <c r="F108" s="188">
        <f>32000-0.01</f>
        <v>31999.99</v>
      </c>
      <c r="G108" s="58">
        <f t="shared" si="86"/>
        <v>31999.99</v>
      </c>
      <c r="H108" s="18">
        <v>32000</v>
      </c>
      <c r="I108" s="58">
        <f t="shared" si="87"/>
        <v>63999.990000000005</v>
      </c>
      <c r="J108" s="18">
        <v>32000</v>
      </c>
      <c r="K108" s="58">
        <f t="shared" si="88"/>
        <v>95999.99</v>
      </c>
      <c r="L108" s="18">
        <v>32000</v>
      </c>
      <c r="M108" s="58">
        <f t="shared" si="89"/>
        <v>127999.99</v>
      </c>
      <c r="N108" s="18">
        <v>32000</v>
      </c>
      <c r="O108" s="58">
        <f t="shared" si="90"/>
        <v>159999.99</v>
      </c>
      <c r="P108" s="18">
        <v>32000</v>
      </c>
      <c r="Q108" s="58">
        <f t="shared" si="91"/>
        <v>191999.99</v>
      </c>
      <c r="R108" s="18">
        <v>32000</v>
      </c>
      <c r="S108" s="58">
        <f t="shared" si="92"/>
        <v>223999.99</v>
      </c>
      <c r="T108" s="18">
        <v>32000</v>
      </c>
      <c r="U108" s="58">
        <f t="shared" si="93"/>
        <v>255999.99</v>
      </c>
      <c r="V108" s="18">
        <v>32000</v>
      </c>
      <c r="W108" s="58">
        <f t="shared" si="94"/>
        <v>287999.99</v>
      </c>
      <c r="X108" s="18">
        <v>32000</v>
      </c>
      <c r="Y108" s="58">
        <f t="shared" si="95"/>
        <v>319999.99</v>
      </c>
      <c r="Z108" s="188">
        <f>32000+29000-50000</f>
        <v>11000</v>
      </c>
      <c r="AA108" s="58">
        <f t="shared" si="96"/>
        <v>330999.99</v>
      </c>
      <c r="AB108" s="188">
        <f>199200-170608.09</f>
        <v>28591.910000000003</v>
      </c>
      <c r="AC108" s="15">
        <f t="shared" si="97"/>
        <v>359591.9</v>
      </c>
      <c r="AD108" s="15">
        <f t="shared" si="98"/>
        <v>0</v>
      </c>
      <c r="AE108" s="18"/>
    </row>
    <row r="109" spans="1:30" ht="15">
      <c r="A109" s="29"/>
      <c r="B109" s="82">
        <v>3151</v>
      </c>
      <c r="C109" s="8" t="s">
        <v>5</v>
      </c>
      <c r="D109" s="18">
        <v>0</v>
      </c>
      <c r="E109" s="18">
        <v>0</v>
      </c>
      <c r="F109" s="18">
        <v>0</v>
      </c>
      <c r="G109" s="58">
        <f t="shared" si="86"/>
        <v>0</v>
      </c>
      <c r="H109" s="18">
        <v>0</v>
      </c>
      <c r="I109" s="58">
        <f t="shared" si="87"/>
        <v>0</v>
      </c>
      <c r="J109" s="18">
        <v>0</v>
      </c>
      <c r="K109" s="58">
        <f t="shared" si="88"/>
        <v>0</v>
      </c>
      <c r="L109" s="18">
        <v>0</v>
      </c>
      <c r="M109" s="58">
        <f t="shared" si="89"/>
        <v>0</v>
      </c>
      <c r="N109" s="18">
        <v>0</v>
      </c>
      <c r="O109" s="58">
        <f t="shared" si="90"/>
        <v>0</v>
      </c>
      <c r="P109" s="18">
        <v>0</v>
      </c>
      <c r="Q109" s="58">
        <f t="shared" si="91"/>
        <v>0</v>
      </c>
      <c r="R109" s="18">
        <v>0</v>
      </c>
      <c r="S109" s="58">
        <f t="shared" si="92"/>
        <v>0</v>
      </c>
      <c r="T109" s="18">
        <v>0</v>
      </c>
      <c r="U109" s="58">
        <f t="shared" si="93"/>
        <v>0</v>
      </c>
      <c r="V109" s="18">
        <v>0</v>
      </c>
      <c r="W109" s="58">
        <f t="shared" si="94"/>
        <v>0</v>
      </c>
      <c r="X109" s="18">
        <v>0</v>
      </c>
      <c r="Y109" s="58">
        <f t="shared" si="95"/>
        <v>0</v>
      </c>
      <c r="Z109" s="18">
        <v>0</v>
      </c>
      <c r="AA109" s="58">
        <f t="shared" si="96"/>
        <v>0</v>
      </c>
      <c r="AB109" s="18">
        <v>0</v>
      </c>
      <c r="AC109" s="15">
        <f t="shared" si="97"/>
        <v>0</v>
      </c>
      <c r="AD109" s="15">
        <f t="shared" si="98"/>
        <v>0</v>
      </c>
    </row>
    <row r="110" spans="1:30" ht="15.75">
      <c r="A110" s="29"/>
      <c r="B110" s="78">
        <v>3161</v>
      </c>
      <c r="C110" s="8" t="s">
        <v>213</v>
      </c>
      <c r="D110" s="18">
        <v>19860</v>
      </c>
      <c r="E110" s="188">
        <f>19860+2000-4393.03</f>
        <v>17466.97</v>
      </c>
      <c r="F110" s="18">
        <v>1655</v>
      </c>
      <c r="G110" s="58">
        <f t="shared" si="86"/>
        <v>1655</v>
      </c>
      <c r="H110" s="18">
        <v>1655</v>
      </c>
      <c r="I110" s="58">
        <f t="shared" si="87"/>
        <v>3310</v>
      </c>
      <c r="J110" s="18">
        <v>1655</v>
      </c>
      <c r="K110" s="58">
        <f t="shared" si="88"/>
        <v>4965</v>
      </c>
      <c r="L110" s="18">
        <v>1655</v>
      </c>
      <c r="M110" s="58">
        <f t="shared" si="89"/>
        <v>6620</v>
      </c>
      <c r="N110" s="18">
        <v>1655</v>
      </c>
      <c r="O110" s="58">
        <f t="shared" si="90"/>
        <v>8275</v>
      </c>
      <c r="P110" s="18">
        <v>1655</v>
      </c>
      <c r="Q110" s="58">
        <f t="shared" si="91"/>
        <v>9930</v>
      </c>
      <c r="R110" s="18">
        <v>1655</v>
      </c>
      <c r="S110" s="58">
        <f t="shared" si="92"/>
        <v>11585</v>
      </c>
      <c r="T110" s="18">
        <v>1655</v>
      </c>
      <c r="U110" s="58">
        <f t="shared" si="93"/>
        <v>13240</v>
      </c>
      <c r="V110" s="18">
        <v>1655</v>
      </c>
      <c r="W110" s="58">
        <f t="shared" si="94"/>
        <v>14895</v>
      </c>
      <c r="X110" s="18">
        <v>1655</v>
      </c>
      <c r="Y110" s="58">
        <f t="shared" si="95"/>
        <v>16550</v>
      </c>
      <c r="Z110" s="188">
        <f>1655+2000</f>
        <v>3655</v>
      </c>
      <c r="AA110" s="58">
        <f t="shared" si="96"/>
        <v>20205</v>
      </c>
      <c r="AB110" s="188">
        <f>1655-4393.03</f>
        <v>-2738.0299999999997</v>
      </c>
      <c r="AC110" s="15">
        <f t="shared" si="97"/>
        <v>17466.97</v>
      </c>
      <c r="AD110" s="15">
        <f t="shared" si="98"/>
        <v>0</v>
      </c>
    </row>
    <row r="111" spans="1:31" ht="15.75">
      <c r="A111" s="29"/>
      <c r="B111" s="82">
        <v>3171</v>
      </c>
      <c r="C111" s="8" t="s">
        <v>128</v>
      </c>
      <c r="D111" s="18">
        <v>268680</v>
      </c>
      <c r="E111" s="188">
        <f>268680-522.36+522</f>
        <v>268679.64</v>
      </c>
      <c r="F111" s="18">
        <v>22390</v>
      </c>
      <c r="G111" s="58">
        <f t="shared" si="86"/>
        <v>22390</v>
      </c>
      <c r="H111" s="18">
        <v>22390</v>
      </c>
      <c r="I111" s="58">
        <f t="shared" si="87"/>
        <v>44780</v>
      </c>
      <c r="J111" s="18">
        <v>22390</v>
      </c>
      <c r="K111" s="58">
        <f t="shared" si="88"/>
        <v>67170</v>
      </c>
      <c r="L111" s="18">
        <v>22390</v>
      </c>
      <c r="M111" s="58">
        <f t="shared" si="89"/>
        <v>89560</v>
      </c>
      <c r="N111" s="18">
        <v>22390</v>
      </c>
      <c r="O111" s="58">
        <f t="shared" si="90"/>
        <v>111950</v>
      </c>
      <c r="P111" s="18">
        <v>22390</v>
      </c>
      <c r="Q111" s="58">
        <f t="shared" si="91"/>
        <v>134340</v>
      </c>
      <c r="R111" s="18">
        <v>22390</v>
      </c>
      <c r="S111" s="58">
        <f t="shared" si="92"/>
        <v>156730</v>
      </c>
      <c r="T111" s="18">
        <v>22390</v>
      </c>
      <c r="U111" s="58">
        <f t="shared" si="93"/>
        <v>179120</v>
      </c>
      <c r="V111" s="18">
        <v>22390</v>
      </c>
      <c r="W111" s="58">
        <f t="shared" si="94"/>
        <v>201510</v>
      </c>
      <c r="X111" s="18">
        <v>22390</v>
      </c>
      <c r="Y111" s="58">
        <f t="shared" si="95"/>
        <v>223900</v>
      </c>
      <c r="Z111" s="18">
        <v>22390</v>
      </c>
      <c r="AA111" s="58">
        <f t="shared" si="96"/>
        <v>246290</v>
      </c>
      <c r="AB111" s="188">
        <f>22390-522.36+522</f>
        <v>22389.64</v>
      </c>
      <c r="AC111" s="15">
        <f t="shared" si="97"/>
        <v>268679.64</v>
      </c>
      <c r="AD111" s="15">
        <f t="shared" si="98"/>
        <v>0</v>
      </c>
      <c r="AE111" s="15"/>
    </row>
    <row r="112" spans="1:31" ht="15.75">
      <c r="A112" s="29"/>
      <c r="B112" s="81">
        <v>3181</v>
      </c>
      <c r="C112" s="26" t="s">
        <v>127</v>
      </c>
      <c r="D112" s="18">
        <v>0</v>
      </c>
      <c r="E112" s="188">
        <f>0+32+14.5+130.5+112.5+22.5+645.5+570+34.5+179.65+1863.5+1009.65+488.5+768.5+3271.65-768.5</f>
        <v>8374.95</v>
      </c>
      <c r="F112" s="18">
        <v>0</v>
      </c>
      <c r="G112" s="58">
        <f t="shared" si="86"/>
        <v>0</v>
      </c>
      <c r="H112" s="188">
        <f>0+32</f>
        <v>32</v>
      </c>
      <c r="I112" s="58">
        <f t="shared" si="87"/>
        <v>32</v>
      </c>
      <c r="J112" s="188">
        <f>0+14.5</f>
        <v>14.5</v>
      </c>
      <c r="K112" s="58">
        <f t="shared" si="88"/>
        <v>46.5</v>
      </c>
      <c r="L112" s="188">
        <f>0+130.5</f>
        <v>130.5</v>
      </c>
      <c r="M112" s="58">
        <f t="shared" si="89"/>
        <v>177</v>
      </c>
      <c r="N112" s="18">
        <v>0</v>
      </c>
      <c r="O112" s="58">
        <f t="shared" si="90"/>
        <v>177</v>
      </c>
      <c r="P112" s="188">
        <f>0+112.5+22.5</f>
        <v>135</v>
      </c>
      <c r="Q112" s="58">
        <f t="shared" si="91"/>
        <v>312</v>
      </c>
      <c r="R112" s="188">
        <f>0+645.5</f>
        <v>645.5</v>
      </c>
      <c r="S112" s="58">
        <f t="shared" si="92"/>
        <v>957.5</v>
      </c>
      <c r="T112" s="188">
        <f>0+570</f>
        <v>570</v>
      </c>
      <c r="U112" s="58">
        <f t="shared" si="93"/>
        <v>1527.5</v>
      </c>
      <c r="V112" s="188">
        <f>0+34.5</f>
        <v>34.5</v>
      </c>
      <c r="W112" s="58">
        <f t="shared" si="94"/>
        <v>1562</v>
      </c>
      <c r="X112" s="188">
        <f>0+179.65+1863.5</f>
        <v>2043.15</v>
      </c>
      <c r="Y112" s="58">
        <f t="shared" si="95"/>
        <v>3605.15</v>
      </c>
      <c r="Z112" s="188">
        <f>0+1009.65+488.5</f>
        <v>1498.15</v>
      </c>
      <c r="AA112" s="58">
        <f t="shared" si="96"/>
        <v>5103.3</v>
      </c>
      <c r="AB112" s="188">
        <f>0+768.5+3271.65-768.5</f>
        <v>3271.65</v>
      </c>
      <c r="AC112" s="15">
        <f>+AA112+AB112</f>
        <v>8374.95</v>
      </c>
      <c r="AD112" s="15">
        <f t="shared" si="98"/>
        <v>0</v>
      </c>
      <c r="AE112" s="15"/>
    </row>
    <row r="113" spans="1:30" ht="15">
      <c r="A113" s="2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41"/>
    </row>
    <row r="114" spans="1:30" ht="15.75">
      <c r="A114" s="29"/>
      <c r="B114" s="80">
        <v>3200</v>
      </c>
      <c r="C114" s="67" t="s">
        <v>138</v>
      </c>
      <c r="D114" s="70">
        <f>SUM(D115:D118)</f>
        <v>1192096.1700000002</v>
      </c>
      <c r="E114" s="70">
        <f>SUM(E115:E118)</f>
        <v>1049076.27</v>
      </c>
      <c r="F114" s="70">
        <f>SUM(F115:F118)</f>
        <v>196792.77</v>
      </c>
      <c r="G114" s="70">
        <f aca="true" t="shared" si="99" ref="G114:AC114">SUM(G115:G118)</f>
        <v>196792.77</v>
      </c>
      <c r="H114" s="70">
        <f>SUM(H115:H118)</f>
        <v>48333.33</v>
      </c>
      <c r="I114" s="70">
        <f t="shared" si="99"/>
        <v>245126.1</v>
      </c>
      <c r="J114" s="70">
        <f>SUM(J115:J118)</f>
        <v>48333.33</v>
      </c>
      <c r="K114" s="70">
        <f t="shared" si="99"/>
        <v>293459.43</v>
      </c>
      <c r="L114" s="70">
        <f>SUM(L115:L118)</f>
        <v>170135.49</v>
      </c>
      <c r="M114" s="70">
        <f t="shared" si="99"/>
        <v>463594.92</v>
      </c>
      <c r="N114" s="70">
        <f>SUM(N115:N118)</f>
        <v>107373.93</v>
      </c>
      <c r="O114" s="70">
        <f t="shared" si="99"/>
        <v>570968.85</v>
      </c>
      <c r="P114" s="70">
        <f>SUM(P115:P118)</f>
        <v>115769.33</v>
      </c>
      <c r="Q114" s="70">
        <f t="shared" si="99"/>
        <v>686738.1799999999</v>
      </c>
      <c r="R114" s="70">
        <f>SUM(R115:R118)</f>
        <v>48333.33</v>
      </c>
      <c r="S114" s="70">
        <f t="shared" si="99"/>
        <v>735071.51</v>
      </c>
      <c r="T114" s="70">
        <f>SUM(T115:T118)</f>
        <v>102433.33</v>
      </c>
      <c r="U114" s="70">
        <f t="shared" si="99"/>
        <v>837504.8400000001</v>
      </c>
      <c r="V114" s="70">
        <f>SUM(V115:V118)</f>
        <v>275991.31</v>
      </c>
      <c r="W114" s="70">
        <f t="shared" si="99"/>
        <v>1113496.15</v>
      </c>
      <c r="X114" s="70">
        <f>SUM(X115:X118)</f>
        <v>-70566.67</v>
      </c>
      <c r="Y114" s="70">
        <f t="shared" si="99"/>
        <v>1042929.48</v>
      </c>
      <c r="Z114" s="70">
        <f>SUM(Z115:Z118)</f>
        <v>49196.66</v>
      </c>
      <c r="AA114" s="70">
        <f t="shared" si="99"/>
        <v>1092126.1400000001</v>
      </c>
      <c r="AB114" s="70">
        <f>SUM(AB115:AB118)</f>
        <v>-43049.869999999995</v>
      </c>
      <c r="AC114" s="70">
        <f t="shared" si="99"/>
        <v>1049076.27</v>
      </c>
      <c r="AD114" s="70">
        <f>SUM(AD115:AD118)</f>
        <v>0</v>
      </c>
    </row>
    <row r="115" spans="1:31" ht="15.75">
      <c r="A115" s="29"/>
      <c r="B115" s="81">
        <v>3231</v>
      </c>
      <c r="C115" s="26" t="s">
        <v>179</v>
      </c>
      <c r="D115" s="18">
        <v>580000.0000000001</v>
      </c>
      <c r="E115" s="188">
        <f>580000+0.01-123000+15916.12-22712.16</f>
        <v>450203.97000000003</v>
      </c>
      <c r="F115" s="188">
        <f>48333.33+0.01</f>
        <v>48333.340000000004</v>
      </c>
      <c r="G115" s="58">
        <f>+F115</f>
        <v>48333.340000000004</v>
      </c>
      <c r="H115" s="18">
        <v>48333.33</v>
      </c>
      <c r="I115" s="58">
        <f>+G115+H115</f>
        <v>96666.67000000001</v>
      </c>
      <c r="J115" s="18">
        <v>48333.33</v>
      </c>
      <c r="K115" s="58">
        <f>+I115+J115</f>
        <v>145000</v>
      </c>
      <c r="L115" s="18">
        <v>48333.33</v>
      </c>
      <c r="M115" s="58">
        <f>+K115+L115</f>
        <v>193333.33000000002</v>
      </c>
      <c r="N115" s="18">
        <v>48333.33</v>
      </c>
      <c r="O115" s="58">
        <f>+M115+N115</f>
        <v>241666.66000000003</v>
      </c>
      <c r="P115" s="18">
        <v>48333.33</v>
      </c>
      <c r="Q115" s="58">
        <f>+O115+P115</f>
        <v>289999.99000000005</v>
      </c>
      <c r="R115" s="18">
        <v>48333.33</v>
      </c>
      <c r="S115" s="58">
        <f>+Q115+R115</f>
        <v>338333.32000000007</v>
      </c>
      <c r="T115" s="18">
        <v>48333.33</v>
      </c>
      <c r="U115" s="58">
        <f>+S115+T115</f>
        <v>386666.6500000001</v>
      </c>
      <c r="V115" s="18">
        <v>48333.33</v>
      </c>
      <c r="W115" s="58">
        <f>+U115+V115</f>
        <v>434999.9800000001</v>
      </c>
      <c r="X115" s="188">
        <f>48333.33-123000</f>
        <v>-74666.67</v>
      </c>
      <c r="Y115" s="58">
        <f>+W115+X115</f>
        <v>360333.3100000001</v>
      </c>
      <c r="Z115" s="18">
        <v>48333.33</v>
      </c>
      <c r="AA115" s="58">
        <f>+Y115+Z115</f>
        <v>408666.64000000013</v>
      </c>
      <c r="AB115" s="188">
        <f>48333.37+15916.12-22712.16</f>
        <v>41537.33</v>
      </c>
      <c r="AC115" s="15">
        <f>+AA115+AB115</f>
        <v>450203.97000000015</v>
      </c>
      <c r="AD115" s="15">
        <f>+E115-AC115</f>
        <v>0</v>
      </c>
      <c r="AE115" s="15"/>
    </row>
    <row r="116" spans="1:30" ht="15.75">
      <c r="A116" s="29"/>
      <c r="B116" s="81">
        <v>3253</v>
      </c>
      <c r="C116" s="26" t="s">
        <v>241</v>
      </c>
      <c r="D116" s="18">
        <v>0</v>
      </c>
      <c r="E116" s="188">
        <f>0+50000-50000+50000-236</f>
        <v>49764</v>
      </c>
      <c r="F116" s="18">
        <v>0</v>
      </c>
      <c r="G116" s="58">
        <f>+F116</f>
        <v>0</v>
      </c>
      <c r="H116" s="18">
        <v>0</v>
      </c>
      <c r="I116" s="58">
        <f>+G116+H116</f>
        <v>0</v>
      </c>
      <c r="J116" s="18">
        <v>0</v>
      </c>
      <c r="K116" s="58">
        <f>+I116+J116</f>
        <v>0</v>
      </c>
      <c r="L116" s="18">
        <v>0</v>
      </c>
      <c r="M116" s="58">
        <f>+K116+L116</f>
        <v>0</v>
      </c>
      <c r="N116" s="18">
        <v>0</v>
      </c>
      <c r="O116" s="58">
        <f>+M116+N116</f>
        <v>0</v>
      </c>
      <c r="P116" s="18">
        <v>0</v>
      </c>
      <c r="Q116" s="58">
        <f>+O116+P116</f>
        <v>0</v>
      </c>
      <c r="R116" s="18">
        <v>0</v>
      </c>
      <c r="S116" s="58">
        <f>+Q116+R116</f>
        <v>0</v>
      </c>
      <c r="T116" s="188">
        <f>0+50000</f>
        <v>50000</v>
      </c>
      <c r="U116" s="58">
        <f>+S116+T116</f>
        <v>50000</v>
      </c>
      <c r="V116" s="18">
        <v>0</v>
      </c>
      <c r="W116" s="58">
        <f>+U116+V116</f>
        <v>50000</v>
      </c>
      <c r="X116" s="18">
        <v>0</v>
      </c>
      <c r="Y116" s="58">
        <f>+W116+X116</f>
        <v>50000</v>
      </c>
      <c r="Z116" s="188">
        <f>0-50000+50000</f>
        <v>0</v>
      </c>
      <c r="AA116" s="58">
        <f>+Y116+Z116</f>
        <v>50000</v>
      </c>
      <c r="AB116" s="188">
        <f>0-236</f>
        <v>-236</v>
      </c>
      <c r="AC116" s="15">
        <f>+AA116+AB116</f>
        <v>49764</v>
      </c>
      <c r="AD116" s="15">
        <f>+E116-AC116</f>
        <v>0</v>
      </c>
    </row>
    <row r="117" spans="1:31" ht="15.75">
      <c r="A117" s="29"/>
      <c r="B117" s="81">
        <v>3271</v>
      </c>
      <c r="C117" s="26" t="s">
        <v>228</v>
      </c>
      <c r="D117" s="18">
        <v>612096.17</v>
      </c>
      <c r="E117" s="188">
        <f>612096.17-120326.67</f>
        <v>491769.50000000006</v>
      </c>
      <c r="F117" s="18">
        <v>148459.43</v>
      </c>
      <c r="G117" s="142">
        <f>+F117</f>
        <v>148459.43</v>
      </c>
      <c r="H117" s="18">
        <v>0</v>
      </c>
      <c r="I117" s="142">
        <f>+G117+H117</f>
        <v>148459.43</v>
      </c>
      <c r="J117" s="18">
        <v>0</v>
      </c>
      <c r="K117" s="142">
        <f>+I117+J117</f>
        <v>148459.43</v>
      </c>
      <c r="L117" s="18">
        <v>121802.16</v>
      </c>
      <c r="M117" s="142">
        <f>+K117+L117</f>
        <v>270261.58999999997</v>
      </c>
      <c r="N117" s="18">
        <v>54940.6</v>
      </c>
      <c r="O117" s="142">
        <f>+M117+N117</f>
        <v>325202.18999999994</v>
      </c>
      <c r="P117" s="18">
        <v>63336</v>
      </c>
      <c r="Q117" s="142">
        <f>+O117+P117</f>
        <v>388538.18999999994</v>
      </c>
      <c r="R117" s="18">
        <v>0</v>
      </c>
      <c r="S117" s="142">
        <f>+Q117+R117</f>
        <v>388538.18999999994</v>
      </c>
      <c r="T117" s="18">
        <v>0</v>
      </c>
      <c r="U117" s="142">
        <f>+S117+T117</f>
        <v>388538.18999999994</v>
      </c>
      <c r="V117" s="18">
        <v>223557.98</v>
      </c>
      <c r="W117" s="142">
        <f>+U117+V117</f>
        <v>612096.1699999999</v>
      </c>
      <c r="X117" s="18">
        <v>0</v>
      </c>
      <c r="Y117" s="142">
        <f>+W117+X117</f>
        <v>612096.1699999999</v>
      </c>
      <c r="Z117" s="188">
        <f>0-120326.67</f>
        <v>-120326.67</v>
      </c>
      <c r="AA117" s="142">
        <f>+Y117+Z117</f>
        <v>491769.49999999994</v>
      </c>
      <c r="AB117" s="18">
        <v>0</v>
      </c>
      <c r="AC117" s="143">
        <f>+AA117+AB117</f>
        <v>491769.49999999994</v>
      </c>
      <c r="AD117" s="15">
        <f>+E117-AC117</f>
        <v>0</v>
      </c>
      <c r="AE117" s="15"/>
    </row>
    <row r="118" spans="1:31" ht="15.75">
      <c r="A118" s="29"/>
      <c r="B118" s="82">
        <v>3291</v>
      </c>
      <c r="C118" s="8" t="s">
        <v>23</v>
      </c>
      <c r="D118" s="18">
        <v>0</v>
      </c>
      <c r="E118" s="188">
        <f>0+4100+4100+4100+4100+4100+96190+25000+1426.8-85778</f>
        <v>57338.79999999999</v>
      </c>
      <c r="F118" s="18">
        <v>0</v>
      </c>
      <c r="G118" s="58">
        <f>+F118</f>
        <v>0</v>
      </c>
      <c r="H118" s="18">
        <v>0</v>
      </c>
      <c r="I118" s="58">
        <f>+G118+H118</f>
        <v>0</v>
      </c>
      <c r="J118" s="18">
        <v>0</v>
      </c>
      <c r="K118" s="58">
        <f>+I118+J118</f>
        <v>0</v>
      </c>
      <c r="L118" s="18">
        <v>0</v>
      </c>
      <c r="M118" s="58">
        <f>+K118+L118</f>
        <v>0</v>
      </c>
      <c r="N118" s="188">
        <f>0+4100</f>
        <v>4100</v>
      </c>
      <c r="O118" s="58">
        <f>+M118+N118</f>
        <v>4100</v>
      </c>
      <c r="P118" s="188">
        <f>0+4100</f>
        <v>4100</v>
      </c>
      <c r="Q118" s="58">
        <f>+O118+P118</f>
        <v>8200</v>
      </c>
      <c r="R118" s="18">
        <v>0</v>
      </c>
      <c r="S118" s="58">
        <f>+Q118+R118</f>
        <v>8200</v>
      </c>
      <c r="T118" s="188">
        <f>0+4100</f>
        <v>4100</v>
      </c>
      <c r="U118" s="58">
        <f>+S118+T118</f>
        <v>12300</v>
      </c>
      <c r="V118" s="188">
        <f>0+4100</f>
        <v>4100</v>
      </c>
      <c r="W118" s="58">
        <f>+U118+V118</f>
        <v>16400</v>
      </c>
      <c r="X118" s="188">
        <f>0+4100</f>
        <v>4100</v>
      </c>
      <c r="Y118" s="58">
        <f>+W118+X118</f>
        <v>20500</v>
      </c>
      <c r="Z118" s="188">
        <f>0+96190+25000</f>
        <v>121190</v>
      </c>
      <c r="AA118" s="58">
        <f>+Y118+Z118</f>
        <v>141690</v>
      </c>
      <c r="AB118" s="188">
        <f>0+1426.8-85778</f>
        <v>-84351.2</v>
      </c>
      <c r="AC118" s="15">
        <f>+AA118+AB118</f>
        <v>57338.8</v>
      </c>
      <c r="AD118" s="15">
        <f>+E118-AC118</f>
        <v>0</v>
      </c>
      <c r="AE118" s="18"/>
    </row>
    <row r="119" spans="1:30" ht="15">
      <c r="A119" s="2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41"/>
    </row>
    <row r="120" spans="1:30" ht="15.75">
      <c r="A120" s="29"/>
      <c r="B120" s="16">
        <v>3300</v>
      </c>
      <c r="C120" s="77" t="s">
        <v>177</v>
      </c>
      <c r="D120" s="70">
        <f aca="true" t="shared" si="100" ref="D120:AD120">SUM(D121:D129)</f>
        <v>9770466.23</v>
      </c>
      <c r="E120" s="70">
        <f>SUM(E121:E129)</f>
        <v>19099067.790000007</v>
      </c>
      <c r="F120" s="70">
        <f>SUM(F121:F129)</f>
        <v>131833.07</v>
      </c>
      <c r="G120" s="70">
        <f t="shared" si="100"/>
        <v>131833.07</v>
      </c>
      <c r="H120" s="70">
        <f>SUM(H121:H129)</f>
        <v>384596.56999999995</v>
      </c>
      <c r="I120" s="70">
        <f t="shared" si="100"/>
        <v>516429.64</v>
      </c>
      <c r="J120" s="70">
        <f>SUM(J121:J129)</f>
        <v>292554.06999999995</v>
      </c>
      <c r="K120" s="70">
        <f t="shared" si="100"/>
        <v>808983.71</v>
      </c>
      <c r="L120" s="70">
        <f>SUM(L121:L129)</f>
        <v>535707.87</v>
      </c>
      <c r="M120" s="70">
        <f t="shared" si="100"/>
        <v>1344691.58</v>
      </c>
      <c r="N120" s="70">
        <f>SUM(N121:N129)</f>
        <v>17991533.07</v>
      </c>
      <c r="O120" s="70">
        <f t="shared" si="100"/>
        <v>19336224.65</v>
      </c>
      <c r="P120" s="70">
        <f>SUM(P121:P129)</f>
        <v>331433.07</v>
      </c>
      <c r="Q120" s="70">
        <f t="shared" si="100"/>
        <v>19667657.72</v>
      </c>
      <c r="R120" s="70">
        <f>SUM(R121:R129)</f>
        <v>648930.07</v>
      </c>
      <c r="S120" s="70">
        <f t="shared" si="100"/>
        <v>20316587.79</v>
      </c>
      <c r="T120" s="70">
        <f>SUM(T121:T129)</f>
        <v>68493.46</v>
      </c>
      <c r="U120" s="70">
        <f t="shared" si="100"/>
        <v>20385081.25</v>
      </c>
      <c r="V120" s="70">
        <f>SUM(V121:V129)</f>
        <v>310933.07</v>
      </c>
      <c r="W120" s="70">
        <f t="shared" si="100"/>
        <v>20696014.32</v>
      </c>
      <c r="X120" s="70">
        <f>SUM(X121:X129)</f>
        <v>238912.39</v>
      </c>
      <c r="Y120" s="70">
        <f t="shared" si="100"/>
        <v>20934926.71</v>
      </c>
      <c r="Z120" s="70">
        <f>SUM(Z121:Z129)</f>
        <v>44276.74000000002</v>
      </c>
      <c r="AA120" s="70">
        <f t="shared" si="100"/>
        <v>20979203.450000003</v>
      </c>
      <c r="AB120" s="70">
        <f>SUM(AB121:AB129)</f>
        <v>-1880135.6600000001</v>
      </c>
      <c r="AC120" s="70">
        <f t="shared" si="100"/>
        <v>19099067.79</v>
      </c>
      <c r="AD120" s="70">
        <f t="shared" si="100"/>
        <v>0</v>
      </c>
    </row>
    <row r="121" spans="1:31" ht="15.75">
      <c r="A121" s="29"/>
      <c r="B121" s="8">
        <v>3311</v>
      </c>
      <c r="C121" s="8" t="s">
        <v>129</v>
      </c>
      <c r="D121" s="18">
        <v>236813.5</v>
      </c>
      <c r="E121" s="188">
        <f>236813.5-14200+17430000-693342-60067.13+84609.09-102586.2+51828.64-1716924.18</f>
        <v>15216131.720000003</v>
      </c>
      <c r="F121" s="18">
        <v>0</v>
      </c>
      <c r="G121" s="58">
        <f aca="true" t="shared" si="101" ref="G121:G129">+F121</f>
        <v>0</v>
      </c>
      <c r="H121" s="18">
        <v>236813.5</v>
      </c>
      <c r="I121" s="58">
        <f aca="true" t="shared" si="102" ref="I121:I129">+G121+H121</f>
        <v>236813.5</v>
      </c>
      <c r="J121" s="188">
        <f>0-14200</f>
        <v>-14200</v>
      </c>
      <c r="K121" s="58">
        <f aca="true" t="shared" si="103" ref="K121:K129">+I121+J121</f>
        <v>222613.5</v>
      </c>
      <c r="L121" s="18">
        <v>0</v>
      </c>
      <c r="M121" s="58">
        <f aca="true" t="shared" si="104" ref="M121:M129">+K121+L121</f>
        <v>222613.5</v>
      </c>
      <c r="N121" s="188">
        <f>0+17430000</f>
        <v>17430000</v>
      </c>
      <c r="O121" s="58">
        <f aca="true" t="shared" si="105" ref="O121:O129">+M121+N121</f>
        <v>17652613.5</v>
      </c>
      <c r="P121" s="18">
        <v>0</v>
      </c>
      <c r="Q121" s="58">
        <f aca="true" t="shared" si="106" ref="Q121:Q129">+O121+P121</f>
        <v>17652613.5</v>
      </c>
      <c r="R121" s="18">
        <v>0</v>
      </c>
      <c r="S121" s="58">
        <f aca="true" t="shared" si="107" ref="S121:S129">+Q121+R121</f>
        <v>17652613.5</v>
      </c>
      <c r="T121" s="18">
        <v>0</v>
      </c>
      <c r="U121" s="58">
        <f aca="true" t="shared" si="108" ref="U121:U129">+S121+T121</f>
        <v>17652613.5</v>
      </c>
      <c r="V121" s="18">
        <v>0</v>
      </c>
      <c r="W121" s="58">
        <f aca="true" t="shared" si="109" ref="W121:W129">+U121+V121</f>
        <v>17652613.5</v>
      </c>
      <c r="X121" s="18">
        <v>0</v>
      </c>
      <c r="Y121" s="58">
        <f aca="true" t="shared" si="110" ref="Y121:Y129">+W121+X121</f>
        <v>17652613.5</v>
      </c>
      <c r="Z121" s="188">
        <f>0-693342-60067.13</f>
        <v>-753409.13</v>
      </c>
      <c r="AA121" s="58">
        <f aca="true" t="shared" si="111" ref="AA121:AA129">+Y121+Z121</f>
        <v>16899204.37</v>
      </c>
      <c r="AB121" s="188">
        <f>0+84609.09-102586.2+51828.64-1716924.18</f>
        <v>-1683072.65</v>
      </c>
      <c r="AC121" s="15">
        <f aca="true" t="shared" si="112" ref="AC121:AC129">+AA121+AB121</f>
        <v>15216131.72</v>
      </c>
      <c r="AD121" s="15">
        <f aca="true" t="shared" si="113" ref="AD121:AD129">+E121-AC121</f>
        <v>0</v>
      </c>
      <c r="AE121" s="15"/>
    </row>
    <row r="122" spans="1:31" ht="15.75">
      <c r="A122" s="29"/>
      <c r="B122" s="8">
        <v>3321</v>
      </c>
      <c r="C122" s="8" t="s">
        <v>239</v>
      </c>
      <c r="D122" s="18">
        <v>0</v>
      </c>
      <c r="E122" s="188">
        <f>0+60000+179880-38000-1780</f>
        <v>200100</v>
      </c>
      <c r="F122" s="18">
        <v>0</v>
      </c>
      <c r="G122" s="58">
        <f t="shared" si="101"/>
        <v>0</v>
      </c>
      <c r="H122" s="18">
        <v>0</v>
      </c>
      <c r="I122" s="58">
        <f t="shared" si="102"/>
        <v>0</v>
      </c>
      <c r="J122" s="188">
        <v>0</v>
      </c>
      <c r="K122" s="58">
        <f t="shared" si="103"/>
        <v>0</v>
      </c>
      <c r="L122" s="18">
        <v>0</v>
      </c>
      <c r="M122" s="58">
        <f t="shared" si="104"/>
        <v>0</v>
      </c>
      <c r="N122" s="18">
        <v>0</v>
      </c>
      <c r="O122" s="58">
        <f t="shared" si="105"/>
        <v>0</v>
      </c>
      <c r="P122" s="18">
        <v>0</v>
      </c>
      <c r="Q122" s="58">
        <f t="shared" si="106"/>
        <v>0</v>
      </c>
      <c r="R122" s="188">
        <f>0+60000+179880</f>
        <v>239880</v>
      </c>
      <c r="S122" s="58">
        <f t="shared" si="107"/>
        <v>239880</v>
      </c>
      <c r="T122" s="18">
        <v>0</v>
      </c>
      <c r="U122" s="58">
        <f t="shared" si="108"/>
        <v>239880</v>
      </c>
      <c r="V122" s="18">
        <v>0</v>
      </c>
      <c r="W122" s="58">
        <f t="shared" si="109"/>
        <v>239880</v>
      </c>
      <c r="X122" s="188">
        <f>0-38000</f>
        <v>-38000</v>
      </c>
      <c r="Y122" s="58">
        <f t="shared" si="110"/>
        <v>201880</v>
      </c>
      <c r="Z122" s="18">
        <v>0</v>
      </c>
      <c r="AA122" s="58">
        <f t="shared" si="111"/>
        <v>201880</v>
      </c>
      <c r="AB122" s="188">
        <f>0-1780</f>
        <v>-1780</v>
      </c>
      <c r="AC122" s="15">
        <f t="shared" si="112"/>
        <v>200100</v>
      </c>
      <c r="AD122" s="15">
        <f t="shared" si="113"/>
        <v>0</v>
      </c>
      <c r="AE122" s="15"/>
    </row>
    <row r="123" spans="1:31" ht="15.75">
      <c r="A123" s="29"/>
      <c r="B123" s="8">
        <v>3331</v>
      </c>
      <c r="C123" s="8" t="s">
        <v>130</v>
      </c>
      <c r="D123" s="18">
        <v>1504740.56</v>
      </c>
      <c r="E123" s="188">
        <f>1504740.56-61224.8-4720.24-1260999.04</f>
        <v>177796.47999999998</v>
      </c>
      <c r="F123" s="18">
        <v>15209.73</v>
      </c>
      <c r="G123" s="58">
        <f t="shared" si="101"/>
        <v>15209.73</v>
      </c>
      <c r="H123" s="18">
        <v>15209.73</v>
      </c>
      <c r="I123" s="58">
        <f t="shared" si="102"/>
        <v>30419.46</v>
      </c>
      <c r="J123" s="18">
        <v>15209.73</v>
      </c>
      <c r="K123" s="58">
        <f t="shared" si="103"/>
        <v>45629.19</v>
      </c>
      <c r="L123" s="18">
        <v>76434.53</v>
      </c>
      <c r="M123" s="58">
        <f t="shared" si="104"/>
        <v>122063.72</v>
      </c>
      <c r="N123" s="18">
        <v>15209.73</v>
      </c>
      <c r="O123" s="58">
        <f t="shared" si="105"/>
        <v>137273.45</v>
      </c>
      <c r="P123" s="18">
        <v>15209.73</v>
      </c>
      <c r="Q123" s="58">
        <f t="shared" si="106"/>
        <v>152483.18000000002</v>
      </c>
      <c r="R123" s="18">
        <v>15209.73</v>
      </c>
      <c r="S123" s="58">
        <f t="shared" si="107"/>
        <v>167692.91000000003</v>
      </c>
      <c r="T123" s="18">
        <v>15209.73</v>
      </c>
      <c r="U123" s="58">
        <f t="shared" si="108"/>
        <v>182902.64000000004</v>
      </c>
      <c r="V123" s="18">
        <v>15209.73</v>
      </c>
      <c r="W123" s="58">
        <f t="shared" si="109"/>
        <v>198112.37000000005</v>
      </c>
      <c r="X123" s="18">
        <v>15209.73</v>
      </c>
      <c r="Y123" s="58">
        <f t="shared" si="110"/>
        <v>213322.10000000006</v>
      </c>
      <c r="Z123" s="188">
        <f>1276208.77-61224.8-1260999.04</f>
        <v>-46015.070000000065</v>
      </c>
      <c r="AA123" s="58">
        <f t="shared" si="111"/>
        <v>167307.03</v>
      </c>
      <c r="AB123" s="188">
        <f>15209.69+1260999.04-4720.24-1260999.04</f>
        <v>10489.449999999953</v>
      </c>
      <c r="AC123" s="15">
        <f t="shared" si="112"/>
        <v>177796.47999999995</v>
      </c>
      <c r="AD123" s="15">
        <f t="shared" si="113"/>
        <v>0</v>
      </c>
      <c r="AE123" s="15"/>
    </row>
    <row r="124" spans="1:31" ht="15.75">
      <c r="A124" s="29"/>
      <c r="B124" s="8">
        <v>3341</v>
      </c>
      <c r="C124" s="8" t="s">
        <v>131</v>
      </c>
      <c r="D124" s="18">
        <v>5593484.09</v>
      </c>
      <c r="E124" s="188">
        <f>5593484.09-16000+1500-76000+120000-5000-19600-10400-20000-7000+63720-290000+60000-347500-5000-30000-39200-2200+939500-546320+20000-44647.41-4137193.7</f>
        <v>1202142.9799999995</v>
      </c>
      <c r="F124" s="18">
        <v>0</v>
      </c>
      <c r="G124" s="58">
        <f t="shared" si="101"/>
        <v>0</v>
      </c>
      <c r="H124" s="18">
        <v>0</v>
      </c>
      <c r="I124" s="58">
        <f t="shared" si="102"/>
        <v>0</v>
      </c>
      <c r="J124" s="188">
        <f>82000-16000</f>
        <v>66000</v>
      </c>
      <c r="K124" s="58">
        <f t="shared" si="103"/>
        <v>66000</v>
      </c>
      <c r="L124" s="188">
        <f>208650+1500-76000+120000-5000</f>
        <v>249150</v>
      </c>
      <c r="M124" s="58">
        <f t="shared" si="104"/>
        <v>315150</v>
      </c>
      <c r="N124" s="188">
        <f>371200-19600-10400</f>
        <v>341200</v>
      </c>
      <c r="O124" s="58">
        <f t="shared" si="105"/>
        <v>656350</v>
      </c>
      <c r="P124" s="188">
        <f>198600-20000-7000</f>
        <v>171600</v>
      </c>
      <c r="Q124" s="58">
        <f t="shared" si="106"/>
        <v>827950</v>
      </c>
      <c r="R124" s="188">
        <f>110000+63720-290000+60000</f>
        <v>-56280</v>
      </c>
      <c r="S124" s="58">
        <f t="shared" si="107"/>
        <v>771670</v>
      </c>
      <c r="T124" s="188">
        <f>270840.39-347500-5000</f>
        <v>-81659.60999999999</v>
      </c>
      <c r="U124" s="58">
        <f t="shared" si="108"/>
        <v>690010.39</v>
      </c>
      <c r="V124" s="188">
        <f>185000-30000</f>
        <v>155000</v>
      </c>
      <c r="W124" s="58">
        <f t="shared" si="109"/>
        <v>845010.39</v>
      </c>
      <c r="X124" s="188">
        <f>30000-39200-2200</f>
        <v>-11400</v>
      </c>
      <c r="Y124" s="58">
        <f t="shared" si="110"/>
        <v>833610.39</v>
      </c>
      <c r="Z124" s="188">
        <f>4137193.7+939500-546320+20000-4137193.7</f>
        <v>413180</v>
      </c>
      <c r="AA124" s="58">
        <f t="shared" si="111"/>
        <v>1246790.3900000001</v>
      </c>
      <c r="AB124" s="188">
        <f>0+4137193.7-44647.41-4137193.7</f>
        <v>-44647.41000000015</v>
      </c>
      <c r="AC124" s="15">
        <f t="shared" si="112"/>
        <v>1202142.98</v>
      </c>
      <c r="AD124" s="15">
        <f t="shared" si="113"/>
        <v>0</v>
      </c>
      <c r="AE124" s="15"/>
    </row>
    <row r="125" spans="1:31" ht="15">
      <c r="A125" s="29"/>
      <c r="B125" s="8">
        <v>3351</v>
      </c>
      <c r="C125" s="8" t="s">
        <v>132</v>
      </c>
      <c r="D125" s="18">
        <v>0</v>
      </c>
      <c r="E125" s="18">
        <v>0</v>
      </c>
      <c r="F125" s="18">
        <v>0</v>
      </c>
      <c r="G125" s="58">
        <f t="shared" si="101"/>
        <v>0</v>
      </c>
      <c r="H125" s="18">
        <v>0</v>
      </c>
      <c r="I125" s="58">
        <f t="shared" si="102"/>
        <v>0</v>
      </c>
      <c r="J125" s="18">
        <v>0</v>
      </c>
      <c r="K125" s="58">
        <f t="shared" si="103"/>
        <v>0</v>
      </c>
      <c r="L125" s="18">
        <v>0</v>
      </c>
      <c r="M125" s="58">
        <f t="shared" si="104"/>
        <v>0</v>
      </c>
      <c r="N125" s="18">
        <v>0</v>
      </c>
      <c r="O125" s="58">
        <f t="shared" si="105"/>
        <v>0</v>
      </c>
      <c r="P125" s="18">
        <v>0</v>
      </c>
      <c r="Q125" s="58">
        <f t="shared" si="106"/>
        <v>0</v>
      </c>
      <c r="R125" s="18">
        <v>0</v>
      </c>
      <c r="S125" s="58">
        <f t="shared" si="107"/>
        <v>0</v>
      </c>
      <c r="T125" s="18">
        <v>0</v>
      </c>
      <c r="U125" s="58">
        <f t="shared" si="108"/>
        <v>0</v>
      </c>
      <c r="V125" s="18">
        <v>0</v>
      </c>
      <c r="W125" s="58">
        <f t="shared" si="109"/>
        <v>0</v>
      </c>
      <c r="X125" s="18">
        <v>0</v>
      </c>
      <c r="Y125" s="58">
        <f t="shared" si="110"/>
        <v>0</v>
      </c>
      <c r="Z125" s="18">
        <v>0</v>
      </c>
      <c r="AA125" s="58">
        <f t="shared" si="111"/>
        <v>0</v>
      </c>
      <c r="AB125" s="18">
        <v>0</v>
      </c>
      <c r="AC125" s="15">
        <f t="shared" si="112"/>
        <v>0</v>
      </c>
      <c r="AD125" s="15">
        <f t="shared" si="113"/>
        <v>0</v>
      </c>
      <c r="AE125" s="15"/>
    </row>
    <row r="126" spans="1:31" ht="15.75">
      <c r="A126" s="29"/>
      <c r="B126" s="8">
        <v>3361</v>
      </c>
      <c r="C126" s="8" t="s">
        <v>133</v>
      </c>
      <c r="D126" s="18">
        <v>150000</v>
      </c>
      <c r="E126" s="188">
        <f>150000+696+10000-68000-9322.02</f>
        <v>83373.98</v>
      </c>
      <c r="F126" s="18">
        <v>12500</v>
      </c>
      <c r="G126" s="58">
        <f t="shared" si="101"/>
        <v>12500</v>
      </c>
      <c r="H126" s="18">
        <v>12500</v>
      </c>
      <c r="I126" s="58">
        <f t="shared" si="102"/>
        <v>25000</v>
      </c>
      <c r="J126" s="188">
        <f>12500+696</f>
        <v>13196</v>
      </c>
      <c r="K126" s="58">
        <f t="shared" si="103"/>
        <v>38196</v>
      </c>
      <c r="L126" s="18">
        <v>12500</v>
      </c>
      <c r="M126" s="58">
        <f t="shared" si="104"/>
        <v>50696</v>
      </c>
      <c r="N126" s="18">
        <v>12500</v>
      </c>
      <c r="O126" s="58">
        <f t="shared" si="105"/>
        <v>63196</v>
      </c>
      <c r="P126" s="18">
        <v>12500</v>
      </c>
      <c r="Q126" s="58">
        <f t="shared" si="106"/>
        <v>75696</v>
      </c>
      <c r="R126" s="18">
        <v>12500</v>
      </c>
      <c r="S126" s="58">
        <f t="shared" si="107"/>
        <v>88196</v>
      </c>
      <c r="T126" s="18">
        <v>12500</v>
      </c>
      <c r="U126" s="58">
        <f t="shared" si="108"/>
        <v>100696</v>
      </c>
      <c r="V126" s="18">
        <v>12500</v>
      </c>
      <c r="W126" s="58">
        <f t="shared" si="109"/>
        <v>113196</v>
      </c>
      <c r="X126" s="18">
        <v>12500</v>
      </c>
      <c r="Y126" s="58">
        <f t="shared" si="110"/>
        <v>125696</v>
      </c>
      <c r="Z126" s="188">
        <f>12500+10000-68000</f>
        <v>-45500</v>
      </c>
      <c r="AA126" s="58">
        <f t="shared" si="111"/>
        <v>80196</v>
      </c>
      <c r="AB126" s="188">
        <f>12500-9322.02</f>
        <v>3177.9799999999996</v>
      </c>
      <c r="AC126" s="15">
        <f>+AA126+AB126</f>
        <v>83373.98</v>
      </c>
      <c r="AD126" s="15">
        <f t="shared" si="113"/>
        <v>0</v>
      </c>
      <c r="AE126" s="15"/>
    </row>
    <row r="127" spans="1:31" ht="15.75">
      <c r="A127" s="29"/>
      <c r="B127" s="8">
        <v>3362</v>
      </c>
      <c r="C127" s="8" t="s">
        <v>224</v>
      </c>
      <c r="D127" s="18">
        <v>1035948</v>
      </c>
      <c r="E127" s="188">
        <f>1035948-50000+81225-33000-16000+45000-1500+20000+13000+15000+275000-67025+5522+39500+4000-35000+14200+10000+33000+731164.4-516922.4+148035.6-28000+14212-321578.33-507260.72</f>
        <v>908520.55</v>
      </c>
      <c r="F127" s="18">
        <v>0</v>
      </c>
      <c r="G127" s="58">
        <f>+F127</f>
        <v>0</v>
      </c>
      <c r="H127" s="188">
        <f>65950-50000</f>
        <v>15950</v>
      </c>
      <c r="I127" s="58">
        <f>+G127+H127</f>
        <v>15950</v>
      </c>
      <c r="J127" s="188">
        <f>70000+81225-33000-16000</f>
        <v>102225</v>
      </c>
      <c r="K127" s="58">
        <f>+I127+J127</f>
        <v>118175</v>
      </c>
      <c r="L127" s="188">
        <f>50000+45000-1500</f>
        <v>93500</v>
      </c>
      <c r="M127" s="58">
        <f>+K127+L127</f>
        <v>211675</v>
      </c>
      <c r="N127" s="188">
        <f>50000+20000+13000</f>
        <v>83000</v>
      </c>
      <c r="O127" s="58">
        <f>+M127+N127</f>
        <v>294675</v>
      </c>
      <c r="P127" s="188">
        <f>0+15000</f>
        <v>15000</v>
      </c>
      <c r="Q127" s="58">
        <f>+O127+P127</f>
        <v>309675</v>
      </c>
      <c r="R127" s="188">
        <f>120000+275000-67025+5522</f>
        <v>333497</v>
      </c>
      <c r="S127" s="58">
        <f>+Q127+R127</f>
        <v>643172</v>
      </c>
      <c r="T127" s="188">
        <f>0+39500+4000-35000</f>
        <v>8500</v>
      </c>
      <c r="U127" s="58">
        <f>+S127+T127</f>
        <v>651672</v>
      </c>
      <c r="V127" s="188">
        <f>0+14200</f>
        <v>14200</v>
      </c>
      <c r="W127" s="58">
        <f>+U127+V127</f>
        <v>665872</v>
      </c>
      <c r="X127" s="188">
        <f>100000+10000+33000</f>
        <v>143000</v>
      </c>
      <c r="Y127" s="58">
        <f>+W127+X127</f>
        <v>808872</v>
      </c>
      <c r="Z127" s="188">
        <f>507260.72+731164.4-516922.4+148035.6-28000-507260.72</f>
        <v>334277.6000000001</v>
      </c>
      <c r="AA127" s="58">
        <f>+Y127+Z127</f>
        <v>1143149.6</v>
      </c>
      <c r="AB127" s="188">
        <f>72737.28+507260.72+14212-321578.33-507260.72</f>
        <v>-234629.05</v>
      </c>
      <c r="AC127" s="15">
        <f>+AA127+AB127</f>
        <v>908520.55</v>
      </c>
      <c r="AD127" s="15">
        <f>+E127-AC127</f>
        <v>0</v>
      </c>
      <c r="AE127" s="15"/>
    </row>
    <row r="128" spans="1:31" ht="15.75">
      <c r="A128" s="29"/>
      <c r="B128" s="8">
        <v>3381</v>
      </c>
      <c r="C128" s="8" t="s">
        <v>134</v>
      </c>
      <c r="D128" s="18">
        <v>1249480.0799999998</v>
      </c>
      <c r="E128" s="188">
        <f>1249480.08+379.32+10000-10379.32</f>
        <v>1249480.08</v>
      </c>
      <c r="F128" s="18">
        <v>104123.34</v>
      </c>
      <c r="G128" s="58">
        <f t="shared" si="101"/>
        <v>104123.34</v>
      </c>
      <c r="H128" s="18">
        <v>104123.34</v>
      </c>
      <c r="I128" s="58">
        <f t="shared" si="102"/>
        <v>208246.68</v>
      </c>
      <c r="J128" s="18">
        <v>104123.34</v>
      </c>
      <c r="K128" s="58">
        <f t="shared" si="103"/>
        <v>312370.02</v>
      </c>
      <c r="L128" s="18">
        <v>104123.34</v>
      </c>
      <c r="M128" s="58">
        <f t="shared" si="104"/>
        <v>416493.36</v>
      </c>
      <c r="N128" s="18">
        <v>104123.34</v>
      </c>
      <c r="O128" s="58">
        <f t="shared" si="105"/>
        <v>520616.69999999995</v>
      </c>
      <c r="P128" s="18">
        <v>104123.34</v>
      </c>
      <c r="Q128" s="58">
        <f t="shared" si="106"/>
        <v>624740.0399999999</v>
      </c>
      <c r="R128" s="18">
        <v>104123.34</v>
      </c>
      <c r="S128" s="58">
        <f t="shared" si="107"/>
        <v>728863.3799999999</v>
      </c>
      <c r="T128" s="18">
        <v>104123.34</v>
      </c>
      <c r="U128" s="58">
        <f t="shared" si="108"/>
        <v>832986.7199999999</v>
      </c>
      <c r="V128" s="18">
        <v>104123.34</v>
      </c>
      <c r="W128" s="58">
        <f t="shared" si="109"/>
        <v>937110.0599999998</v>
      </c>
      <c r="X128" s="188">
        <f>104123.34+379.32</f>
        <v>104502.66</v>
      </c>
      <c r="Y128" s="58">
        <f t="shared" si="110"/>
        <v>1041612.7199999999</v>
      </c>
      <c r="Z128" s="188">
        <f>104123.34+10000</f>
        <v>114123.34</v>
      </c>
      <c r="AA128" s="58">
        <f t="shared" si="111"/>
        <v>1155736.0599999998</v>
      </c>
      <c r="AB128" s="188">
        <f>104123.34-10379.32</f>
        <v>93744.01999999999</v>
      </c>
      <c r="AC128" s="15">
        <f t="shared" si="112"/>
        <v>1249480.0799999998</v>
      </c>
      <c r="AD128" s="15">
        <f t="shared" si="113"/>
        <v>0</v>
      </c>
      <c r="AE128" s="15"/>
    </row>
    <row r="129" spans="1:31" ht="15.75">
      <c r="A129" s="29"/>
      <c r="B129" s="8">
        <v>3391</v>
      </c>
      <c r="C129" s="8" t="s">
        <v>135</v>
      </c>
      <c r="D129" s="18">
        <v>0</v>
      </c>
      <c r="E129" s="188">
        <f>0+6000+5500+13000+9820+9900+13100+84620-57000-23418</f>
        <v>61522</v>
      </c>
      <c r="F129" s="18">
        <v>0</v>
      </c>
      <c r="G129" s="58">
        <f t="shared" si="101"/>
        <v>0</v>
      </c>
      <c r="H129" s="18">
        <v>0</v>
      </c>
      <c r="I129" s="58">
        <f t="shared" si="102"/>
        <v>0</v>
      </c>
      <c r="J129" s="188">
        <f>0+6000</f>
        <v>6000</v>
      </c>
      <c r="K129" s="58">
        <f t="shared" si="103"/>
        <v>6000</v>
      </c>
      <c r="L129" s="18">
        <v>0</v>
      </c>
      <c r="M129" s="58">
        <f t="shared" si="104"/>
        <v>6000</v>
      </c>
      <c r="N129" s="188">
        <f>0+5500</f>
        <v>5500</v>
      </c>
      <c r="O129" s="58">
        <f t="shared" si="105"/>
        <v>11500</v>
      </c>
      <c r="P129" s="188">
        <f>0+13000</f>
        <v>13000</v>
      </c>
      <c r="Q129" s="58">
        <f t="shared" si="106"/>
        <v>24500</v>
      </c>
      <c r="R129" s="18">
        <v>0</v>
      </c>
      <c r="S129" s="58">
        <f t="shared" si="107"/>
        <v>24500</v>
      </c>
      <c r="T129" s="188">
        <f>0+9820</f>
        <v>9820</v>
      </c>
      <c r="U129" s="58">
        <f t="shared" si="108"/>
        <v>34320</v>
      </c>
      <c r="V129" s="188">
        <f>0+9900</f>
        <v>9900</v>
      </c>
      <c r="W129" s="58">
        <f t="shared" si="109"/>
        <v>44220</v>
      </c>
      <c r="X129" s="188">
        <f>0+13100</f>
        <v>13100</v>
      </c>
      <c r="Y129" s="58">
        <f t="shared" si="110"/>
        <v>57320</v>
      </c>
      <c r="Z129" s="188">
        <f>0+84620-57000</f>
        <v>27620</v>
      </c>
      <c r="AA129" s="58">
        <f t="shared" si="111"/>
        <v>84940</v>
      </c>
      <c r="AB129" s="188">
        <f>0-23418</f>
        <v>-23418</v>
      </c>
      <c r="AC129" s="15">
        <f t="shared" si="112"/>
        <v>61522</v>
      </c>
      <c r="AD129" s="15">
        <f t="shared" si="113"/>
        <v>0</v>
      </c>
      <c r="AE129" s="15"/>
    </row>
    <row r="130" spans="1:30" ht="15">
      <c r="A130" s="2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41"/>
    </row>
    <row r="131" spans="1:30" ht="15.75">
      <c r="A131" s="29"/>
      <c r="B131" s="69">
        <v>3400</v>
      </c>
      <c r="C131" s="67" t="s">
        <v>178</v>
      </c>
      <c r="D131" s="70">
        <f>SUM(D132:D136)</f>
        <v>368971.64</v>
      </c>
      <c r="E131" s="70">
        <f>SUM(E132:E136)</f>
        <v>327126.36</v>
      </c>
      <c r="F131" s="70">
        <f>SUM(F132:F136)</f>
        <v>30330.97</v>
      </c>
      <c r="G131" s="70">
        <f aca="true" t="shared" si="114" ref="G131:AC131">SUM(G132:G136)</f>
        <v>30330.97</v>
      </c>
      <c r="H131" s="70">
        <f>SUM(H132:H136)</f>
        <v>30330.97</v>
      </c>
      <c r="I131" s="70">
        <f t="shared" si="114"/>
        <v>60661.94</v>
      </c>
      <c r="J131" s="70">
        <f>SUM(J132:J136)</f>
        <v>37330.97</v>
      </c>
      <c r="K131" s="70">
        <f t="shared" si="114"/>
        <v>97992.91</v>
      </c>
      <c r="L131" s="70">
        <f>SUM(L132:L136)</f>
        <v>30330.97</v>
      </c>
      <c r="M131" s="70">
        <f t="shared" si="114"/>
        <v>128323.88</v>
      </c>
      <c r="N131" s="70">
        <f>SUM(N132:N136)</f>
        <v>30330.97</v>
      </c>
      <c r="O131" s="70">
        <f t="shared" si="114"/>
        <v>158654.85</v>
      </c>
      <c r="P131" s="70">
        <f>SUM(P132:P136)</f>
        <v>30330.97</v>
      </c>
      <c r="Q131" s="70">
        <f t="shared" si="114"/>
        <v>188985.82</v>
      </c>
      <c r="R131" s="70">
        <f>SUM(R132:R136)</f>
        <v>30330.97</v>
      </c>
      <c r="S131" s="70">
        <f t="shared" si="114"/>
        <v>219316.79</v>
      </c>
      <c r="T131" s="70">
        <f>SUM(T132:T136)</f>
        <v>35330.97</v>
      </c>
      <c r="U131" s="70">
        <f t="shared" si="114"/>
        <v>254647.76</v>
      </c>
      <c r="V131" s="70">
        <f>SUM(V132:V136)</f>
        <v>30330.97</v>
      </c>
      <c r="W131" s="70">
        <f t="shared" si="114"/>
        <v>284978.73000000004</v>
      </c>
      <c r="X131" s="70">
        <f>SUM(X132:X136)</f>
        <v>30330.97</v>
      </c>
      <c r="Y131" s="70">
        <f t="shared" si="114"/>
        <v>315309.7</v>
      </c>
      <c r="Z131" s="70">
        <f>SUM(Z132:Z136)</f>
        <v>30330.97</v>
      </c>
      <c r="AA131" s="70">
        <f t="shared" si="114"/>
        <v>345640.67</v>
      </c>
      <c r="AB131" s="70">
        <f>SUM(AB132:AB136)</f>
        <v>-18514.309999999998</v>
      </c>
      <c r="AC131" s="70">
        <f t="shared" si="114"/>
        <v>327126.36</v>
      </c>
      <c r="AD131" s="70">
        <f>SUM(AD132:AD136)</f>
        <v>0</v>
      </c>
    </row>
    <row r="132" spans="1:30" ht="15.75">
      <c r="A132" s="29"/>
      <c r="B132" s="57">
        <v>3411</v>
      </c>
      <c r="C132" s="26" t="s">
        <v>188</v>
      </c>
      <c r="D132" s="18">
        <v>60000</v>
      </c>
      <c r="E132" s="188">
        <f>60000-191.24-40549.28</f>
        <v>19259.480000000003</v>
      </c>
      <c r="F132" s="18">
        <v>5000</v>
      </c>
      <c r="G132" s="58">
        <f>+F132</f>
        <v>5000</v>
      </c>
      <c r="H132" s="18">
        <v>5000</v>
      </c>
      <c r="I132" s="58">
        <f>+G132+H132</f>
        <v>10000</v>
      </c>
      <c r="J132" s="18">
        <v>5000</v>
      </c>
      <c r="K132" s="58">
        <f>+I132+J132</f>
        <v>15000</v>
      </c>
      <c r="L132" s="18">
        <v>5000</v>
      </c>
      <c r="M132" s="58">
        <f>+K132+L132</f>
        <v>20000</v>
      </c>
      <c r="N132" s="18">
        <v>5000</v>
      </c>
      <c r="O132" s="58">
        <f>+M132+N132</f>
        <v>25000</v>
      </c>
      <c r="P132" s="18">
        <v>5000</v>
      </c>
      <c r="Q132" s="58">
        <f>+O132+P132</f>
        <v>30000</v>
      </c>
      <c r="R132" s="188">
        <f>5000-191.24</f>
        <v>4808.76</v>
      </c>
      <c r="S132" s="58">
        <f>+Q132+R132</f>
        <v>34808.76</v>
      </c>
      <c r="T132" s="18">
        <v>5000</v>
      </c>
      <c r="U132" s="58">
        <f>+S132+T132</f>
        <v>39808.76</v>
      </c>
      <c r="V132" s="18">
        <v>5000</v>
      </c>
      <c r="W132" s="58">
        <f>+U132+V132</f>
        <v>44808.76</v>
      </c>
      <c r="X132" s="18">
        <v>5000</v>
      </c>
      <c r="Y132" s="58">
        <f>+W132+X132</f>
        <v>49808.76</v>
      </c>
      <c r="Z132" s="18">
        <v>5000</v>
      </c>
      <c r="AA132" s="58">
        <f>+Y132+Z132</f>
        <v>54808.76</v>
      </c>
      <c r="AB132" s="188">
        <f>5000-40549.28</f>
        <v>-35549.28</v>
      </c>
      <c r="AC132" s="15">
        <f>+AA132+AB132</f>
        <v>19259.480000000003</v>
      </c>
      <c r="AD132" s="15">
        <f>+E132-AC132</f>
        <v>0</v>
      </c>
    </row>
    <row r="133" spans="1:30" ht="15.75">
      <c r="A133" s="29"/>
      <c r="B133" s="57">
        <v>3441</v>
      </c>
      <c r="C133" s="26" t="s">
        <v>180</v>
      </c>
      <c r="D133" s="18">
        <v>5000</v>
      </c>
      <c r="E133" s="188">
        <f>5000+2000-7000</f>
        <v>0</v>
      </c>
      <c r="F133" s="18">
        <v>0</v>
      </c>
      <c r="G133" s="58">
        <f>+F133</f>
        <v>0</v>
      </c>
      <c r="H133" s="18">
        <v>0</v>
      </c>
      <c r="I133" s="58">
        <f>+G133+H133</f>
        <v>0</v>
      </c>
      <c r="J133" s="188">
        <f>5000+2000</f>
        <v>7000</v>
      </c>
      <c r="K133" s="58">
        <f>+I133+J133</f>
        <v>7000</v>
      </c>
      <c r="L133" s="18">
        <v>0</v>
      </c>
      <c r="M133" s="58">
        <f>+K133+L133</f>
        <v>7000</v>
      </c>
      <c r="N133" s="18">
        <v>0</v>
      </c>
      <c r="O133" s="58">
        <f>+M133+N133</f>
        <v>7000</v>
      </c>
      <c r="P133" s="18">
        <v>0</v>
      </c>
      <c r="Q133" s="58">
        <f>+O133+P133</f>
        <v>7000</v>
      </c>
      <c r="R133" s="18">
        <v>0</v>
      </c>
      <c r="S133" s="58">
        <f>+Q133+R133</f>
        <v>7000</v>
      </c>
      <c r="T133" s="18">
        <v>0</v>
      </c>
      <c r="U133" s="58">
        <f>+S133+T133</f>
        <v>7000</v>
      </c>
      <c r="V133" s="18">
        <v>0</v>
      </c>
      <c r="W133" s="58">
        <f>+U133+V133</f>
        <v>7000</v>
      </c>
      <c r="X133" s="18">
        <v>0</v>
      </c>
      <c r="Y133" s="58">
        <f>+W133+X133</f>
        <v>7000</v>
      </c>
      <c r="Z133" s="18">
        <v>0</v>
      </c>
      <c r="AA133" s="58">
        <f>+Y133+Z133</f>
        <v>7000</v>
      </c>
      <c r="AB133" s="188">
        <f>0-7000</f>
        <v>-7000</v>
      </c>
      <c r="AC133" s="15">
        <f>+AA133+AB133</f>
        <v>0</v>
      </c>
      <c r="AD133" s="15">
        <f>+E133-AC133</f>
        <v>0</v>
      </c>
    </row>
    <row r="134" spans="1:30" ht="15.75">
      <c r="A134" s="29"/>
      <c r="B134" s="57">
        <v>3451</v>
      </c>
      <c r="C134" s="26" t="s">
        <v>136</v>
      </c>
      <c r="D134" s="18">
        <v>273971.64</v>
      </c>
      <c r="E134" s="188">
        <f>273971.64+1427.11</f>
        <v>275398.75</v>
      </c>
      <c r="F134" s="18">
        <v>22830.97</v>
      </c>
      <c r="G134" s="58">
        <f>+F134</f>
        <v>22830.97</v>
      </c>
      <c r="H134" s="18">
        <v>22830.97</v>
      </c>
      <c r="I134" s="58">
        <f>+G134+H134</f>
        <v>45661.94</v>
      </c>
      <c r="J134" s="18">
        <v>22830.97</v>
      </c>
      <c r="K134" s="58">
        <f>+I134+J134</f>
        <v>68492.91</v>
      </c>
      <c r="L134" s="18">
        <v>22830.97</v>
      </c>
      <c r="M134" s="58">
        <f>+K134+L134</f>
        <v>91323.88</v>
      </c>
      <c r="N134" s="18">
        <v>22830.97</v>
      </c>
      <c r="O134" s="58">
        <f>+M134+N134</f>
        <v>114154.85</v>
      </c>
      <c r="P134" s="18">
        <v>22830.97</v>
      </c>
      <c r="Q134" s="58">
        <f>+O134+P134</f>
        <v>136985.82</v>
      </c>
      <c r="R134" s="18">
        <v>22830.97</v>
      </c>
      <c r="S134" s="58">
        <f>+Q134+R134</f>
        <v>159816.79</v>
      </c>
      <c r="T134" s="18">
        <v>22830.97</v>
      </c>
      <c r="U134" s="58">
        <f>+S134+T134</f>
        <v>182647.76</v>
      </c>
      <c r="V134" s="18">
        <v>22830.97</v>
      </c>
      <c r="W134" s="58">
        <f>+U134+V134</f>
        <v>205478.73</v>
      </c>
      <c r="X134" s="18">
        <v>22830.97</v>
      </c>
      <c r="Y134" s="58">
        <f>+W134+X134</f>
        <v>228309.7</v>
      </c>
      <c r="Z134" s="18">
        <v>22830.97</v>
      </c>
      <c r="AA134" s="58">
        <f>+Y134+Z134</f>
        <v>251140.67</v>
      </c>
      <c r="AB134" s="188">
        <f>22830.97+1427.11</f>
        <v>24258.08</v>
      </c>
      <c r="AC134" s="15">
        <f>+AA134+AB134</f>
        <v>275398.75</v>
      </c>
      <c r="AD134" s="15">
        <f>+E134-AC134</f>
        <v>0</v>
      </c>
    </row>
    <row r="135" spans="1:31" ht="15">
      <c r="A135" s="29"/>
      <c r="B135" s="57">
        <v>3471</v>
      </c>
      <c r="C135" s="14" t="s">
        <v>78</v>
      </c>
      <c r="D135" s="18">
        <v>0</v>
      </c>
      <c r="E135" s="18">
        <v>0</v>
      </c>
      <c r="F135" s="18">
        <v>0</v>
      </c>
      <c r="G135" s="58">
        <f>+F135</f>
        <v>0</v>
      </c>
      <c r="H135" s="18">
        <v>0</v>
      </c>
      <c r="I135" s="58">
        <f>+G135+H135</f>
        <v>0</v>
      </c>
      <c r="J135" s="18">
        <v>0</v>
      </c>
      <c r="K135" s="58">
        <f>+I135+J135</f>
        <v>0</v>
      </c>
      <c r="L135" s="18">
        <v>0</v>
      </c>
      <c r="M135" s="58">
        <f>+K135+L135</f>
        <v>0</v>
      </c>
      <c r="N135" s="18">
        <v>0</v>
      </c>
      <c r="O135" s="58">
        <f>+M135+N135</f>
        <v>0</v>
      </c>
      <c r="P135" s="18">
        <v>0</v>
      </c>
      <c r="Q135" s="58">
        <f>+O135+P135</f>
        <v>0</v>
      </c>
      <c r="R135" s="18">
        <v>0</v>
      </c>
      <c r="S135" s="58">
        <f>+Q135+R135</f>
        <v>0</v>
      </c>
      <c r="T135" s="18">
        <v>0</v>
      </c>
      <c r="U135" s="58">
        <f>+S135+T135</f>
        <v>0</v>
      </c>
      <c r="V135" s="18">
        <v>0</v>
      </c>
      <c r="W135" s="58">
        <f>+U135+V135</f>
        <v>0</v>
      </c>
      <c r="X135" s="18">
        <v>0</v>
      </c>
      <c r="Y135" s="58">
        <f>+W135+X135</f>
        <v>0</v>
      </c>
      <c r="Z135" s="18">
        <v>0</v>
      </c>
      <c r="AA135" s="58">
        <f>+Y135+Z135</f>
        <v>0</v>
      </c>
      <c r="AB135" s="18">
        <v>0</v>
      </c>
      <c r="AC135" s="15">
        <f>+AA135+AB135</f>
        <v>0</v>
      </c>
      <c r="AD135" s="15">
        <f>+E135-AC135</f>
        <v>0</v>
      </c>
      <c r="AE135" s="15"/>
    </row>
    <row r="136" spans="1:30" ht="15.75">
      <c r="A136" s="29"/>
      <c r="B136" s="57">
        <v>3499</v>
      </c>
      <c r="C136" s="14" t="s">
        <v>137</v>
      </c>
      <c r="D136" s="18">
        <v>30000</v>
      </c>
      <c r="E136" s="188">
        <f>30000+191.24+5000-2723.11</f>
        <v>32468.130000000005</v>
      </c>
      <c r="F136" s="18">
        <v>2500</v>
      </c>
      <c r="G136" s="58">
        <f>+F136</f>
        <v>2500</v>
      </c>
      <c r="H136" s="18">
        <v>2500</v>
      </c>
      <c r="I136" s="58">
        <f>+G136+H136</f>
        <v>5000</v>
      </c>
      <c r="J136" s="18">
        <v>2500</v>
      </c>
      <c r="K136" s="58">
        <f>+I136+J136</f>
        <v>7500</v>
      </c>
      <c r="L136" s="18">
        <v>2500</v>
      </c>
      <c r="M136" s="58">
        <f>+K136+L136</f>
        <v>10000</v>
      </c>
      <c r="N136" s="18">
        <v>2500</v>
      </c>
      <c r="O136" s="58">
        <f>+M136+N136</f>
        <v>12500</v>
      </c>
      <c r="P136" s="18">
        <v>2500</v>
      </c>
      <c r="Q136" s="58">
        <f>+O136+P136</f>
        <v>15000</v>
      </c>
      <c r="R136" s="188">
        <f>2500+191.24</f>
        <v>2691.24</v>
      </c>
      <c r="S136" s="58">
        <f>+Q136+R136</f>
        <v>17691.239999999998</v>
      </c>
      <c r="T136" s="188">
        <f>2500+5000</f>
        <v>7500</v>
      </c>
      <c r="U136" s="58">
        <f>+S136+T136</f>
        <v>25191.239999999998</v>
      </c>
      <c r="V136" s="18">
        <v>2500</v>
      </c>
      <c r="W136" s="58">
        <f>+U136+V136</f>
        <v>27691.239999999998</v>
      </c>
      <c r="X136" s="18">
        <v>2500</v>
      </c>
      <c r="Y136" s="58">
        <f>+W136+X136</f>
        <v>30191.239999999998</v>
      </c>
      <c r="Z136" s="18">
        <v>2500</v>
      </c>
      <c r="AA136" s="58">
        <f>+Y136+Z136</f>
        <v>32691.239999999998</v>
      </c>
      <c r="AB136" s="188">
        <f>2500-2723.11</f>
        <v>-223.11000000000013</v>
      </c>
      <c r="AC136" s="15">
        <f>+AA136+AB136</f>
        <v>32468.129999999997</v>
      </c>
      <c r="AD136" s="15">
        <f>+E136-AC136</f>
        <v>0</v>
      </c>
    </row>
    <row r="137" spans="1:30" ht="15.75">
      <c r="A137" s="29"/>
      <c r="B137" s="83"/>
      <c r="C137" s="26"/>
      <c r="D137" s="19"/>
      <c r="E137" s="19"/>
      <c r="F137" s="19"/>
      <c r="G137" s="15"/>
      <c r="H137" s="19"/>
      <c r="I137" s="15"/>
      <c r="J137" s="19"/>
      <c r="K137" s="15"/>
      <c r="L137" s="19"/>
      <c r="M137" s="15"/>
      <c r="N137" s="19"/>
      <c r="O137" s="15"/>
      <c r="P137" s="19"/>
      <c r="Q137" s="15"/>
      <c r="R137" s="19"/>
      <c r="S137" s="15"/>
      <c r="T137" s="19"/>
      <c r="U137" s="15"/>
      <c r="V137" s="19"/>
      <c r="W137" s="15"/>
      <c r="X137" s="19"/>
      <c r="Y137" s="15"/>
      <c r="Z137" s="19"/>
      <c r="AA137" s="15"/>
      <c r="AB137" s="19"/>
      <c r="AC137" s="15"/>
      <c r="AD137" s="41"/>
    </row>
    <row r="138" spans="1:30" ht="15.75">
      <c r="A138" s="29"/>
      <c r="B138" s="69">
        <v>3500</v>
      </c>
      <c r="C138" s="67" t="s">
        <v>139</v>
      </c>
      <c r="D138" s="70">
        <f>SUM(D139:D145)</f>
        <v>4209043.45</v>
      </c>
      <c r="E138" s="70">
        <f>SUM(E139:E145)</f>
        <v>3675570.7</v>
      </c>
      <c r="F138" s="70">
        <f>SUM(F139:F145)</f>
        <v>1217882.9300000002</v>
      </c>
      <c r="G138" s="70">
        <f aca="true" t="shared" si="115" ref="G138:AC138">SUM(G139:G145)</f>
        <v>1217882.9300000002</v>
      </c>
      <c r="H138" s="70">
        <f>SUM(H139:H145)</f>
        <v>346750.95</v>
      </c>
      <c r="I138" s="70">
        <f t="shared" si="115"/>
        <v>1564633.88</v>
      </c>
      <c r="J138" s="70">
        <f>SUM(J139:J145)</f>
        <v>212130.95</v>
      </c>
      <c r="K138" s="70">
        <f t="shared" si="115"/>
        <v>1776764.83</v>
      </c>
      <c r="L138" s="70">
        <f>SUM(L139:L145)</f>
        <v>220250.55</v>
      </c>
      <c r="M138" s="70">
        <f t="shared" si="115"/>
        <v>1997015.3800000004</v>
      </c>
      <c r="N138" s="70">
        <f>SUM(N139:N145)</f>
        <v>197130.95</v>
      </c>
      <c r="O138" s="70">
        <f t="shared" si="115"/>
        <v>2194146.33</v>
      </c>
      <c r="P138" s="70">
        <f>SUM(P139:P145)</f>
        <v>271323.75000000006</v>
      </c>
      <c r="Q138" s="70">
        <f t="shared" si="115"/>
        <v>2465470.08</v>
      </c>
      <c r="R138" s="70">
        <f>SUM(R139:R145)</f>
        <v>215790.75</v>
      </c>
      <c r="S138" s="70">
        <f t="shared" si="115"/>
        <v>2681260.83</v>
      </c>
      <c r="T138" s="70">
        <f>SUM(T139:T145)</f>
        <v>232284.15000000002</v>
      </c>
      <c r="U138" s="70">
        <f t="shared" si="115"/>
        <v>2913544.9800000004</v>
      </c>
      <c r="V138" s="70">
        <f>SUM(V139:V145)</f>
        <v>231798.95</v>
      </c>
      <c r="W138" s="70">
        <f t="shared" si="115"/>
        <v>3145343.9300000006</v>
      </c>
      <c r="X138" s="70">
        <f>SUM(X139:X145)</f>
        <v>78779.55000000002</v>
      </c>
      <c r="Y138" s="70">
        <f t="shared" si="115"/>
        <v>3224123.48</v>
      </c>
      <c r="Z138" s="70">
        <f>SUM(Z139:Z145)</f>
        <v>281600.95</v>
      </c>
      <c r="AA138" s="70">
        <f t="shared" si="115"/>
        <v>3505724.43</v>
      </c>
      <c r="AB138" s="70">
        <f>SUM(AB139:AB145)</f>
        <v>169846.27000000002</v>
      </c>
      <c r="AC138" s="70">
        <f t="shared" si="115"/>
        <v>3675570.7</v>
      </c>
      <c r="AD138" s="70">
        <f>SUM(AD139:AD145)</f>
        <v>0</v>
      </c>
    </row>
    <row r="139" spans="1:31" ht="15.75">
      <c r="A139" s="29"/>
      <c r="B139" s="81">
        <v>3511</v>
      </c>
      <c r="C139" s="26" t="s">
        <v>140</v>
      </c>
      <c r="D139" s="18">
        <v>129204</v>
      </c>
      <c r="E139" s="188">
        <f>129204+522+20000+1972+870+580+2262-7180.62</f>
        <v>148229.38</v>
      </c>
      <c r="F139" s="18">
        <v>10767</v>
      </c>
      <c r="G139" s="58">
        <f aca="true" t="shared" si="116" ref="G139:G145">+F139</f>
        <v>10767</v>
      </c>
      <c r="H139" s="18">
        <v>10767</v>
      </c>
      <c r="I139" s="58">
        <f aca="true" t="shared" si="117" ref="I139:I145">+G139+H139</f>
        <v>21534</v>
      </c>
      <c r="J139" s="18">
        <v>10767</v>
      </c>
      <c r="K139" s="58">
        <f aca="true" t="shared" si="118" ref="K139:K145">+I139+J139</f>
        <v>32301</v>
      </c>
      <c r="L139" s="188">
        <f>10767+522</f>
        <v>11289</v>
      </c>
      <c r="M139" s="58">
        <f aca="true" t="shared" si="119" ref="M139:M145">+K139+L139</f>
        <v>43590</v>
      </c>
      <c r="N139" s="18">
        <v>10767</v>
      </c>
      <c r="O139" s="58">
        <f aca="true" t="shared" si="120" ref="O139:O145">+M139+N139</f>
        <v>54357</v>
      </c>
      <c r="P139" s="188">
        <f>10767+20000+1972</f>
        <v>32739</v>
      </c>
      <c r="Q139" s="58">
        <f aca="true" t="shared" si="121" ref="Q139:Q145">+O139+P139</f>
        <v>87096</v>
      </c>
      <c r="R139" s="188">
        <f>10767+870</f>
        <v>11637</v>
      </c>
      <c r="S139" s="58">
        <f aca="true" t="shared" si="122" ref="S139:S145">+Q139+R139</f>
        <v>98733</v>
      </c>
      <c r="T139" s="188">
        <f>10767+580</f>
        <v>11347</v>
      </c>
      <c r="U139" s="58">
        <f aca="true" t="shared" si="123" ref="U139:U145">+S139+T139</f>
        <v>110080</v>
      </c>
      <c r="V139" s="18">
        <v>10767</v>
      </c>
      <c r="W139" s="58">
        <f aca="true" t="shared" si="124" ref="W139:W145">+U139+V139</f>
        <v>120847</v>
      </c>
      <c r="X139" s="188">
        <f>10767+2262</f>
        <v>13029</v>
      </c>
      <c r="Y139" s="58">
        <f aca="true" t="shared" si="125" ref="Y139:Y145">+W139+X139</f>
        <v>133876</v>
      </c>
      <c r="Z139" s="18">
        <v>10767</v>
      </c>
      <c r="AA139" s="58">
        <f aca="true" t="shared" si="126" ref="AA139:AA145">+Y139+Z139</f>
        <v>144643</v>
      </c>
      <c r="AB139" s="188">
        <f>10767-7180.62</f>
        <v>3586.38</v>
      </c>
      <c r="AC139" s="15">
        <f aca="true" t="shared" si="127" ref="AC139:AC145">+AA139+AB139</f>
        <v>148229.38</v>
      </c>
      <c r="AD139" s="15">
        <f aca="true" t="shared" si="128" ref="AD139:AD145">+E139-AC139</f>
        <v>0</v>
      </c>
      <c r="AE139" s="15"/>
    </row>
    <row r="140" spans="1:30" ht="15.75">
      <c r="A140" s="29"/>
      <c r="B140" s="57">
        <v>3521</v>
      </c>
      <c r="C140" s="14" t="s">
        <v>141</v>
      </c>
      <c r="D140" s="18">
        <v>330000</v>
      </c>
      <c r="E140" s="188">
        <f>330000+1867.6-10000-5000+1600.8+2789.8+4953.2+2668-76000+2766.6-232.8-200000</f>
        <v>55413.19999999998</v>
      </c>
      <c r="F140" s="18">
        <v>0</v>
      </c>
      <c r="G140" s="58">
        <f t="shared" si="116"/>
        <v>0</v>
      </c>
      <c r="H140" s="18">
        <v>130000</v>
      </c>
      <c r="I140" s="58">
        <f t="shared" si="117"/>
        <v>130000</v>
      </c>
      <c r="J140" s="18">
        <v>0</v>
      </c>
      <c r="K140" s="58">
        <f t="shared" si="118"/>
        <v>130000</v>
      </c>
      <c r="L140" s="188">
        <f>0+1867.6</f>
        <v>1867.6</v>
      </c>
      <c r="M140" s="58">
        <f t="shared" si="119"/>
        <v>131867.6</v>
      </c>
      <c r="N140" s="188">
        <f>0-10000-5000</f>
        <v>-15000</v>
      </c>
      <c r="O140" s="58">
        <f t="shared" si="120"/>
        <v>116867.6</v>
      </c>
      <c r="P140" s="188">
        <f>0+1600.8</f>
        <v>1600.8</v>
      </c>
      <c r="Q140" s="58">
        <f t="shared" si="121"/>
        <v>118468.40000000001</v>
      </c>
      <c r="R140" s="188">
        <f>0+2789.8</f>
        <v>2789.8</v>
      </c>
      <c r="S140" s="58">
        <f t="shared" si="122"/>
        <v>121258.20000000001</v>
      </c>
      <c r="T140" s="188">
        <f>0+4953.2</f>
        <v>4953.2</v>
      </c>
      <c r="U140" s="58">
        <f t="shared" si="123"/>
        <v>126211.40000000001</v>
      </c>
      <c r="V140" s="188">
        <f>0+2668</f>
        <v>2668</v>
      </c>
      <c r="W140" s="58">
        <f t="shared" si="124"/>
        <v>128879.40000000001</v>
      </c>
      <c r="X140" s="188">
        <f>0-76000+2766.6</f>
        <v>-73233.4</v>
      </c>
      <c r="Y140" s="58">
        <f t="shared" si="125"/>
        <v>55646.000000000015</v>
      </c>
      <c r="Z140" s="188">
        <f>131526.48-131526.48</f>
        <v>0</v>
      </c>
      <c r="AA140" s="58">
        <f t="shared" si="126"/>
        <v>55646.000000000015</v>
      </c>
      <c r="AB140" s="188">
        <f>68473.52+131526.48-232.8-200000</f>
        <v>-232.79999999998836</v>
      </c>
      <c r="AC140" s="15">
        <f t="shared" si="127"/>
        <v>55413.200000000026</v>
      </c>
      <c r="AD140" s="15">
        <f t="shared" si="128"/>
        <v>0</v>
      </c>
    </row>
    <row r="141" spans="1:30" ht="15.75">
      <c r="A141" s="29"/>
      <c r="B141" s="57">
        <v>3531</v>
      </c>
      <c r="C141" s="14" t="s">
        <v>142</v>
      </c>
      <c r="D141" s="18">
        <v>2077455.7400000005</v>
      </c>
      <c r="E141" s="188">
        <f>2077455.74+40000-9134.46</f>
        <v>2108321.2800000003</v>
      </c>
      <c r="F141" s="18">
        <v>941314.79</v>
      </c>
      <c r="G141" s="58">
        <f t="shared" si="116"/>
        <v>941314.79</v>
      </c>
      <c r="H141" s="18">
        <v>103285.54000000001</v>
      </c>
      <c r="I141" s="58">
        <f t="shared" si="117"/>
        <v>1044600.3300000001</v>
      </c>
      <c r="J141" s="18">
        <v>103285.54000000001</v>
      </c>
      <c r="K141" s="58">
        <f t="shared" si="118"/>
        <v>1147885.87</v>
      </c>
      <c r="L141" s="18">
        <v>103285.54000000001</v>
      </c>
      <c r="M141" s="58">
        <f t="shared" si="119"/>
        <v>1251171.4100000001</v>
      </c>
      <c r="N141" s="18">
        <v>103285.54000000001</v>
      </c>
      <c r="O141" s="58">
        <f t="shared" si="120"/>
        <v>1354456.9500000002</v>
      </c>
      <c r="P141" s="18">
        <v>103285.54000000001</v>
      </c>
      <c r="Q141" s="58">
        <f t="shared" si="121"/>
        <v>1457742.4900000002</v>
      </c>
      <c r="R141" s="18">
        <v>103285.54000000001</v>
      </c>
      <c r="S141" s="58">
        <f t="shared" si="122"/>
        <v>1561028.0300000003</v>
      </c>
      <c r="T141" s="18">
        <v>103285.54000000001</v>
      </c>
      <c r="U141" s="58">
        <f t="shared" si="123"/>
        <v>1664313.5700000003</v>
      </c>
      <c r="V141" s="18">
        <v>103285.54000000001</v>
      </c>
      <c r="W141" s="58">
        <f t="shared" si="124"/>
        <v>1767599.1100000003</v>
      </c>
      <c r="X141" s="18">
        <v>103285.54000000001</v>
      </c>
      <c r="Y141" s="58">
        <f t="shared" si="125"/>
        <v>1870884.6500000004</v>
      </c>
      <c r="Z141" s="188">
        <f>103285.54+40000</f>
        <v>143285.53999999998</v>
      </c>
      <c r="AA141" s="58">
        <f t="shared" si="126"/>
        <v>2014170.1900000004</v>
      </c>
      <c r="AB141" s="188">
        <f>103285.55-9134.46</f>
        <v>94151.09</v>
      </c>
      <c r="AC141" s="15">
        <f>+AA141+AB141</f>
        <v>2108321.2800000003</v>
      </c>
      <c r="AD141" s="15">
        <f t="shared" si="128"/>
        <v>0</v>
      </c>
    </row>
    <row r="142" spans="1:31" ht="15.75">
      <c r="A142" s="29"/>
      <c r="B142" s="57">
        <v>3553</v>
      </c>
      <c r="C142" s="14" t="s">
        <v>181</v>
      </c>
      <c r="D142" s="18">
        <v>150000</v>
      </c>
      <c r="E142" s="188">
        <f>150000-67000+26000-7290.86</f>
        <v>101709.14</v>
      </c>
      <c r="F142" s="18">
        <v>150000</v>
      </c>
      <c r="G142" s="58">
        <f t="shared" si="116"/>
        <v>150000</v>
      </c>
      <c r="H142" s="18">
        <v>0</v>
      </c>
      <c r="I142" s="58">
        <f t="shared" si="117"/>
        <v>150000</v>
      </c>
      <c r="J142" s="18">
        <v>0</v>
      </c>
      <c r="K142" s="58">
        <f t="shared" si="118"/>
        <v>150000</v>
      </c>
      <c r="L142" s="18">
        <v>0</v>
      </c>
      <c r="M142" s="58">
        <f t="shared" si="119"/>
        <v>150000</v>
      </c>
      <c r="N142" s="18">
        <v>0</v>
      </c>
      <c r="O142" s="58">
        <f t="shared" si="120"/>
        <v>150000</v>
      </c>
      <c r="P142" s="18">
        <v>0</v>
      </c>
      <c r="Q142" s="58">
        <f t="shared" si="121"/>
        <v>150000</v>
      </c>
      <c r="R142" s="18">
        <v>0</v>
      </c>
      <c r="S142" s="58">
        <f t="shared" si="122"/>
        <v>150000</v>
      </c>
      <c r="T142" s="18">
        <v>0</v>
      </c>
      <c r="U142" s="58">
        <f t="shared" si="123"/>
        <v>150000</v>
      </c>
      <c r="V142" s="18">
        <v>0</v>
      </c>
      <c r="W142" s="58">
        <f t="shared" si="124"/>
        <v>150000</v>
      </c>
      <c r="X142" s="188">
        <f>0-67000</f>
        <v>-67000</v>
      </c>
      <c r="Y142" s="58">
        <f t="shared" si="125"/>
        <v>83000</v>
      </c>
      <c r="Z142" s="188">
        <f>0+26000</f>
        <v>26000</v>
      </c>
      <c r="AA142" s="58">
        <f t="shared" si="126"/>
        <v>109000</v>
      </c>
      <c r="AB142" s="188">
        <f>0-7290.86</f>
        <v>-7290.86</v>
      </c>
      <c r="AC142" s="15">
        <f t="shared" si="127"/>
        <v>101709.14</v>
      </c>
      <c r="AD142" s="15">
        <f t="shared" si="128"/>
        <v>0</v>
      </c>
      <c r="AE142" s="15"/>
    </row>
    <row r="143" spans="1:31" ht="15.75">
      <c r="A143" s="29"/>
      <c r="B143" s="57">
        <v>3571</v>
      </c>
      <c r="C143" s="14" t="s">
        <v>192</v>
      </c>
      <c r="D143" s="18">
        <v>508832.73</v>
      </c>
      <c r="E143" s="188">
        <f>508832.73+31000+10000+17000+3000-11933.99-300000</f>
        <v>257898.74</v>
      </c>
      <c r="F143" s="18">
        <v>33648.56</v>
      </c>
      <c r="G143" s="58">
        <f t="shared" si="116"/>
        <v>33648.56</v>
      </c>
      <c r="H143" s="18">
        <v>15925.83</v>
      </c>
      <c r="I143" s="58">
        <f t="shared" si="117"/>
        <v>49574.39</v>
      </c>
      <c r="J143" s="18">
        <v>15925.83</v>
      </c>
      <c r="K143" s="58">
        <f t="shared" si="118"/>
        <v>65500.22</v>
      </c>
      <c r="L143" s="18">
        <v>15925.83</v>
      </c>
      <c r="M143" s="58">
        <f t="shared" si="119"/>
        <v>81426.05</v>
      </c>
      <c r="N143" s="18">
        <v>15925.83</v>
      </c>
      <c r="O143" s="58">
        <f t="shared" si="120"/>
        <v>97351.88</v>
      </c>
      <c r="P143" s="188">
        <f>15925.83+31000</f>
        <v>46925.83</v>
      </c>
      <c r="Q143" s="58">
        <f t="shared" si="121"/>
        <v>144277.71000000002</v>
      </c>
      <c r="R143" s="18">
        <v>15925.83</v>
      </c>
      <c r="S143" s="58">
        <f t="shared" si="122"/>
        <v>160203.54</v>
      </c>
      <c r="T143" s="188">
        <f>15925.83+10000</f>
        <v>25925.83</v>
      </c>
      <c r="U143" s="58">
        <f t="shared" si="123"/>
        <v>186129.37</v>
      </c>
      <c r="V143" s="188">
        <f>15925.83+17000</f>
        <v>32925.83</v>
      </c>
      <c r="W143" s="58">
        <f t="shared" si="124"/>
        <v>219055.2</v>
      </c>
      <c r="X143" s="18">
        <v>15925.83</v>
      </c>
      <c r="Y143" s="58">
        <f t="shared" si="125"/>
        <v>234981.03</v>
      </c>
      <c r="Z143" s="188">
        <f>15925.83+3000</f>
        <v>18925.83</v>
      </c>
      <c r="AA143" s="58">
        <f t="shared" si="126"/>
        <v>253906.86</v>
      </c>
      <c r="AB143" s="188">
        <f>315925.87-11933.99-300000</f>
        <v>3991.8800000000047</v>
      </c>
      <c r="AC143" s="15">
        <f>+AA143+AB143</f>
        <v>257898.74</v>
      </c>
      <c r="AD143" s="15">
        <f t="shared" si="128"/>
        <v>0</v>
      </c>
      <c r="AE143" s="15"/>
    </row>
    <row r="144" spans="1:30" ht="15.75">
      <c r="A144" s="29"/>
      <c r="B144" s="81">
        <v>3581</v>
      </c>
      <c r="C144" s="14" t="s">
        <v>143</v>
      </c>
      <c r="D144" s="18">
        <v>985830.9799999999</v>
      </c>
      <c r="E144" s="188">
        <f>985830.98+1110+470-0.02</f>
        <v>987410.96</v>
      </c>
      <c r="F144" s="18">
        <v>82152.58</v>
      </c>
      <c r="G144" s="58">
        <f t="shared" si="116"/>
        <v>82152.58</v>
      </c>
      <c r="H144" s="18">
        <v>82152.58</v>
      </c>
      <c r="I144" s="58">
        <f t="shared" si="117"/>
        <v>164305.16</v>
      </c>
      <c r="J144" s="18">
        <v>82152.58</v>
      </c>
      <c r="K144" s="58">
        <f t="shared" si="118"/>
        <v>246457.74</v>
      </c>
      <c r="L144" s="188">
        <f>82152.58+1110</f>
        <v>83262.58</v>
      </c>
      <c r="M144" s="58">
        <f t="shared" si="119"/>
        <v>329720.32</v>
      </c>
      <c r="N144" s="18">
        <v>82152.58</v>
      </c>
      <c r="O144" s="58">
        <f t="shared" si="120"/>
        <v>411872.9</v>
      </c>
      <c r="P144" s="18">
        <v>82152.58</v>
      </c>
      <c r="Q144" s="58">
        <f t="shared" si="121"/>
        <v>494025.48000000004</v>
      </c>
      <c r="R144" s="18">
        <v>82152.58</v>
      </c>
      <c r="S144" s="58">
        <f t="shared" si="122"/>
        <v>576178.06</v>
      </c>
      <c r="T144" s="18">
        <v>82152.58</v>
      </c>
      <c r="U144" s="58">
        <f t="shared" si="123"/>
        <v>658330.64</v>
      </c>
      <c r="V144" s="18">
        <v>82152.58</v>
      </c>
      <c r="W144" s="58">
        <f t="shared" si="124"/>
        <v>740483.22</v>
      </c>
      <c r="X144" s="18">
        <v>82152.58</v>
      </c>
      <c r="Y144" s="58">
        <f t="shared" si="125"/>
        <v>822635.7999999999</v>
      </c>
      <c r="Z144" s="188">
        <f>82152.58+470</f>
        <v>82622.58</v>
      </c>
      <c r="AA144" s="58">
        <f t="shared" si="126"/>
        <v>905258.3799999999</v>
      </c>
      <c r="AB144" s="188">
        <f>82152.6-0.02</f>
        <v>82152.58</v>
      </c>
      <c r="AC144" s="15">
        <f t="shared" si="127"/>
        <v>987410.9599999998</v>
      </c>
      <c r="AD144" s="15">
        <f t="shared" si="128"/>
        <v>0</v>
      </c>
    </row>
    <row r="145" spans="1:31" ht="15.75">
      <c r="A145" s="29"/>
      <c r="B145" s="78">
        <v>3591</v>
      </c>
      <c r="C145" s="8" t="s">
        <v>144</v>
      </c>
      <c r="D145" s="18">
        <v>27720</v>
      </c>
      <c r="E145" s="188">
        <f>27720-11132</f>
        <v>16588</v>
      </c>
      <c r="F145" s="18">
        <v>0</v>
      </c>
      <c r="G145" s="58">
        <f t="shared" si="116"/>
        <v>0</v>
      </c>
      <c r="H145" s="18">
        <v>4620</v>
      </c>
      <c r="I145" s="58">
        <f t="shared" si="117"/>
        <v>4620</v>
      </c>
      <c r="J145" s="18">
        <v>0</v>
      </c>
      <c r="K145" s="58">
        <f t="shared" si="118"/>
        <v>4620</v>
      </c>
      <c r="L145" s="18">
        <v>4620</v>
      </c>
      <c r="M145" s="58">
        <f t="shared" si="119"/>
        <v>9240</v>
      </c>
      <c r="N145" s="18">
        <v>0</v>
      </c>
      <c r="O145" s="58">
        <f t="shared" si="120"/>
        <v>9240</v>
      </c>
      <c r="P145" s="18">
        <v>4620</v>
      </c>
      <c r="Q145" s="58">
        <f t="shared" si="121"/>
        <v>13860</v>
      </c>
      <c r="R145" s="18">
        <v>0</v>
      </c>
      <c r="S145" s="58">
        <f t="shared" si="122"/>
        <v>13860</v>
      </c>
      <c r="T145" s="18">
        <v>4620</v>
      </c>
      <c r="U145" s="58">
        <f t="shared" si="123"/>
        <v>18480</v>
      </c>
      <c r="V145" s="18">
        <v>0</v>
      </c>
      <c r="W145" s="58">
        <f t="shared" si="124"/>
        <v>18480</v>
      </c>
      <c r="X145" s="18">
        <v>4620</v>
      </c>
      <c r="Y145" s="58">
        <f t="shared" si="125"/>
        <v>23100</v>
      </c>
      <c r="Z145" s="18">
        <v>0</v>
      </c>
      <c r="AA145" s="58">
        <f t="shared" si="126"/>
        <v>23100</v>
      </c>
      <c r="AB145" s="188">
        <f>4620-11132</f>
        <v>-6512</v>
      </c>
      <c r="AC145" s="15">
        <f t="shared" si="127"/>
        <v>16588</v>
      </c>
      <c r="AD145" s="15">
        <f t="shared" si="128"/>
        <v>0</v>
      </c>
      <c r="AE145" s="15"/>
    </row>
    <row r="146" spans="1:30" ht="15">
      <c r="A146" s="2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41"/>
    </row>
    <row r="147" spans="1:30" ht="15.75">
      <c r="A147" s="29"/>
      <c r="B147" s="69">
        <v>3600</v>
      </c>
      <c r="C147" s="67" t="s">
        <v>145</v>
      </c>
      <c r="D147" s="70">
        <f>SUM(D148:D150)</f>
        <v>6305512.24</v>
      </c>
      <c r="E147" s="70">
        <f>SUM(E148:E150)</f>
        <v>813311.9100000001</v>
      </c>
      <c r="F147" s="70">
        <f>SUM(F148:F150)</f>
        <v>57828.32</v>
      </c>
      <c r="G147" s="70">
        <f aca="true" t="shared" si="129" ref="G147:AC147">SUM(G148:G150)</f>
        <v>57828.32</v>
      </c>
      <c r="H147" s="70">
        <f>SUM(H148:H150)</f>
        <v>57828.32</v>
      </c>
      <c r="I147" s="70">
        <f t="shared" si="129"/>
        <v>115656.64</v>
      </c>
      <c r="J147" s="70">
        <f>SUM(J148:J150)</f>
        <v>57828.32</v>
      </c>
      <c r="K147" s="70">
        <f t="shared" si="129"/>
        <v>173484.96</v>
      </c>
      <c r="L147" s="70">
        <f>SUM(L148:L150)</f>
        <v>307828.32</v>
      </c>
      <c r="M147" s="70">
        <f t="shared" si="129"/>
        <v>481313.28</v>
      </c>
      <c r="N147" s="70">
        <f>SUM(N148:N150)</f>
        <v>97828.32</v>
      </c>
      <c r="O147" s="70">
        <f t="shared" si="129"/>
        <v>579141.6</v>
      </c>
      <c r="P147" s="70">
        <f>SUM(P148:P150)</f>
        <v>57828.32</v>
      </c>
      <c r="Q147" s="70">
        <f t="shared" si="129"/>
        <v>636969.92</v>
      </c>
      <c r="R147" s="70">
        <f>SUM(R148:R150)</f>
        <v>347828.32</v>
      </c>
      <c r="S147" s="70">
        <f t="shared" si="129"/>
        <v>984798.24</v>
      </c>
      <c r="T147" s="70">
        <f>SUM(T148:T150)</f>
        <v>57828.32</v>
      </c>
      <c r="U147" s="70">
        <f t="shared" si="129"/>
        <v>1042626.56</v>
      </c>
      <c r="V147" s="70">
        <f>SUM(V148:V150)</f>
        <v>57828.32</v>
      </c>
      <c r="W147" s="70">
        <f t="shared" si="129"/>
        <v>1100454.8800000001</v>
      </c>
      <c r="X147" s="70">
        <f>SUM(X148:X150)</f>
        <v>89400.72</v>
      </c>
      <c r="Y147" s="70">
        <f t="shared" si="129"/>
        <v>1189855.6</v>
      </c>
      <c r="Z147" s="70">
        <f>SUM(Z148:Z150)</f>
        <v>-471171.68</v>
      </c>
      <c r="AA147" s="70">
        <f t="shared" si="129"/>
        <v>718683.92</v>
      </c>
      <c r="AB147" s="70">
        <f>SUM(AB148:AB150)</f>
        <v>94627.98999999977</v>
      </c>
      <c r="AC147" s="70">
        <f t="shared" si="129"/>
        <v>813311.9099999998</v>
      </c>
      <c r="AD147" s="70">
        <f>SUM(AD148:AD150)</f>
        <v>0</v>
      </c>
    </row>
    <row r="148" spans="1:30" ht="15.75">
      <c r="A148" s="29"/>
      <c r="B148" s="57">
        <v>3611</v>
      </c>
      <c r="C148" s="14" t="s">
        <v>219</v>
      </c>
      <c r="D148" s="18">
        <v>6001332.4</v>
      </c>
      <c r="E148" s="188">
        <f>6001332.4-427000-142000+38000-1140.24-5000000</f>
        <v>469192.16000000015</v>
      </c>
      <c r="F148" s="18">
        <v>32480</v>
      </c>
      <c r="G148" s="58">
        <f>+F148</f>
        <v>32480</v>
      </c>
      <c r="H148" s="18">
        <v>32480</v>
      </c>
      <c r="I148" s="58">
        <f>+G148+H148</f>
        <v>64960</v>
      </c>
      <c r="J148" s="18">
        <v>32480</v>
      </c>
      <c r="K148" s="58">
        <f>+I148+J148</f>
        <v>97440</v>
      </c>
      <c r="L148" s="18">
        <v>282480</v>
      </c>
      <c r="M148" s="58">
        <f>+K148+L148</f>
        <v>379920</v>
      </c>
      <c r="N148" s="18">
        <v>72480</v>
      </c>
      <c r="O148" s="58">
        <f>+M148+N148</f>
        <v>452400</v>
      </c>
      <c r="P148" s="18">
        <v>32480</v>
      </c>
      <c r="Q148" s="58">
        <f>+O148+P148</f>
        <v>484880</v>
      </c>
      <c r="R148" s="18">
        <v>322480</v>
      </c>
      <c r="S148" s="58">
        <f>+Q148+R148</f>
        <v>807360</v>
      </c>
      <c r="T148" s="18">
        <v>32480</v>
      </c>
      <c r="U148" s="58">
        <f>+S148+T148</f>
        <v>839840</v>
      </c>
      <c r="V148" s="18">
        <v>32480</v>
      </c>
      <c r="W148" s="58">
        <f>+U148+V148</f>
        <v>872320</v>
      </c>
      <c r="X148" s="18">
        <v>64052.4</v>
      </c>
      <c r="Y148" s="58">
        <f>+W148+X148</f>
        <v>936372.4</v>
      </c>
      <c r="Z148" s="188">
        <f>32480-427000-142000</f>
        <v>-536520</v>
      </c>
      <c r="AA148" s="58">
        <f>+Y148+Z148</f>
        <v>399852.4</v>
      </c>
      <c r="AB148" s="188">
        <f>5032480+38000-1140.24-5000000</f>
        <v>69339.75999999978</v>
      </c>
      <c r="AC148" s="15">
        <f>+AA148+AB148</f>
        <v>469192.1599999998</v>
      </c>
      <c r="AD148" s="15">
        <f>+E148-AC148</f>
        <v>0</v>
      </c>
    </row>
    <row r="149" spans="1:30" ht="15.75">
      <c r="A149" s="29"/>
      <c r="B149" s="57">
        <v>3631</v>
      </c>
      <c r="C149" s="14" t="s">
        <v>244</v>
      </c>
      <c r="D149" s="18">
        <v>0</v>
      </c>
      <c r="E149" s="188">
        <f>0+40000+0.01-60</f>
        <v>39940.01</v>
      </c>
      <c r="F149" s="18">
        <v>0</v>
      </c>
      <c r="G149" s="58">
        <f>+F149</f>
        <v>0</v>
      </c>
      <c r="H149" s="18">
        <v>0</v>
      </c>
      <c r="I149" s="58">
        <f>+G149+H149</f>
        <v>0</v>
      </c>
      <c r="J149" s="18">
        <v>0</v>
      </c>
      <c r="K149" s="58">
        <f>+I149+J149</f>
        <v>0</v>
      </c>
      <c r="L149" s="18">
        <v>0</v>
      </c>
      <c r="M149" s="58">
        <f>+K149+L149</f>
        <v>0</v>
      </c>
      <c r="N149" s="18">
        <v>0</v>
      </c>
      <c r="O149" s="58">
        <f>+M149+N149</f>
        <v>0</v>
      </c>
      <c r="P149" s="18">
        <v>0</v>
      </c>
      <c r="Q149" s="58">
        <f>+O149+P149</f>
        <v>0</v>
      </c>
      <c r="R149" s="18">
        <v>0</v>
      </c>
      <c r="S149" s="58">
        <f>+Q149+R149</f>
        <v>0</v>
      </c>
      <c r="T149" s="18">
        <v>0</v>
      </c>
      <c r="U149" s="58">
        <f>+S149+T149</f>
        <v>0</v>
      </c>
      <c r="V149" s="18">
        <v>0</v>
      </c>
      <c r="W149" s="58">
        <f>+U149+V149</f>
        <v>0</v>
      </c>
      <c r="X149" s="18">
        <v>0</v>
      </c>
      <c r="Y149" s="58">
        <f>+W149+X149</f>
        <v>0</v>
      </c>
      <c r="Z149" s="188">
        <f>0+40000</f>
        <v>40000</v>
      </c>
      <c r="AA149" s="58">
        <f>+Y149+Z149</f>
        <v>40000</v>
      </c>
      <c r="AB149" s="188">
        <f>0.01-60</f>
        <v>-59.99</v>
      </c>
      <c r="AC149" s="15">
        <f>+AA149+AB149</f>
        <v>39940.01</v>
      </c>
      <c r="AD149" s="15">
        <f>+E149-AC149</f>
        <v>0</v>
      </c>
    </row>
    <row r="150" spans="1:30" ht="15.75">
      <c r="A150" s="29"/>
      <c r="B150" s="57">
        <v>3661</v>
      </c>
      <c r="C150" s="14" t="s">
        <v>209</v>
      </c>
      <c r="D150" s="18">
        <v>304179.84</v>
      </c>
      <c r="E150" s="188">
        <f>304179.84-0.1</f>
        <v>304179.74000000005</v>
      </c>
      <c r="F150" s="18">
        <v>25348.32</v>
      </c>
      <c r="G150" s="58">
        <f>+F150</f>
        <v>25348.32</v>
      </c>
      <c r="H150" s="18">
        <v>25348.32</v>
      </c>
      <c r="I150" s="58">
        <f>+G150+H150</f>
        <v>50696.64</v>
      </c>
      <c r="J150" s="18">
        <v>25348.32</v>
      </c>
      <c r="K150" s="58">
        <f>+I150+J150</f>
        <v>76044.95999999999</v>
      </c>
      <c r="L150" s="18">
        <v>25348.32</v>
      </c>
      <c r="M150" s="58">
        <f>+K150+L150</f>
        <v>101393.28</v>
      </c>
      <c r="N150" s="18">
        <v>25348.32</v>
      </c>
      <c r="O150" s="58">
        <f>+M150+N150</f>
        <v>126741.6</v>
      </c>
      <c r="P150" s="18">
        <v>25348.32</v>
      </c>
      <c r="Q150" s="58">
        <f>+O150+P150</f>
        <v>152089.92</v>
      </c>
      <c r="R150" s="18">
        <v>25348.32</v>
      </c>
      <c r="S150" s="58">
        <f>+Q150+R150</f>
        <v>177438.24000000002</v>
      </c>
      <c r="T150" s="18">
        <v>25348.32</v>
      </c>
      <c r="U150" s="58">
        <f>+S150+T150</f>
        <v>202786.56000000003</v>
      </c>
      <c r="V150" s="18">
        <v>25348.32</v>
      </c>
      <c r="W150" s="58">
        <f>+U150+V150</f>
        <v>228134.88000000003</v>
      </c>
      <c r="X150" s="18">
        <v>25348.32</v>
      </c>
      <c r="Y150" s="58">
        <f>+W150+X150</f>
        <v>253483.20000000004</v>
      </c>
      <c r="Z150" s="18">
        <v>25348.32</v>
      </c>
      <c r="AA150" s="58">
        <f>+Y150+Z150</f>
        <v>278831.52</v>
      </c>
      <c r="AB150" s="188">
        <f>25348.32-0.1</f>
        <v>25348.22</v>
      </c>
      <c r="AC150" s="15">
        <f>+AA150+AB150</f>
        <v>304179.74</v>
      </c>
      <c r="AD150" s="15">
        <f>+E150-AC150</f>
        <v>0</v>
      </c>
    </row>
    <row r="151" spans="1:30" ht="15">
      <c r="A151" s="29"/>
      <c r="D151" s="15"/>
      <c r="E151" s="15"/>
      <c r="F151" s="15"/>
      <c r="G151" s="20"/>
      <c r="H151" s="15"/>
      <c r="I151" s="20"/>
      <c r="J151" s="15"/>
      <c r="K151" s="20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41"/>
    </row>
    <row r="152" spans="1:30" ht="15.75">
      <c r="A152" s="29"/>
      <c r="B152" s="69">
        <v>3700</v>
      </c>
      <c r="C152" s="67" t="s">
        <v>146</v>
      </c>
      <c r="D152" s="70">
        <f>SUM(D153:D158)</f>
        <v>50000</v>
      </c>
      <c r="E152" s="70">
        <f>SUM(E153:E158)</f>
        <v>171341.07</v>
      </c>
      <c r="F152" s="70">
        <f>SUM(F153:F158)</f>
        <v>0</v>
      </c>
      <c r="G152" s="70">
        <f aca="true" t="shared" si="130" ref="G152:AC152">SUM(G153:G158)</f>
        <v>0</v>
      </c>
      <c r="H152" s="70">
        <f>SUM(H153:H158)</f>
        <v>52379</v>
      </c>
      <c r="I152" s="70">
        <f t="shared" si="130"/>
        <v>52379</v>
      </c>
      <c r="J152" s="70">
        <f>SUM(J153:J158)</f>
        <v>12595.4</v>
      </c>
      <c r="K152" s="70">
        <f t="shared" si="130"/>
        <v>64974.4</v>
      </c>
      <c r="L152" s="70">
        <f>SUM(L153:L158)</f>
        <v>4914.9</v>
      </c>
      <c r="M152" s="70">
        <f t="shared" si="130"/>
        <v>69889.3</v>
      </c>
      <c r="N152" s="70">
        <f>SUM(N153:N158)</f>
        <v>5697.5</v>
      </c>
      <c r="O152" s="70">
        <f t="shared" si="130"/>
        <v>75586.8</v>
      </c>
      <c r="P152" s="70">
        <f>SUM(P153:P158)</f>
        <v>10476.61</v>
      </c>
      <c r="Q152" s="70">
        <f t="shared" si="130"/>
        <v>86063.41</v>
      </c>
      <c r="R152" s="70">
        <f>SUM(R153:R158)</f>
        <v>5286.15</v>
      </c>
      <c r="S152" s="70">
        <f t="shared" si="130"/>
        <v>91349.56</v>
      </c>
      <c r="T152" s="70">
        <f>SUM(T153:T158)</f>
        <v>17268</v>
      </c>
      <c r="U152" s="70">
        <f t="shared" si="130"/>
        <v>108617.56</v>
      </c>
      <c r="V152" s="70">
        <f>SUM(V153:V158)</f>
        <v>13897.400000000001</v>
      </c>
      <c r="W152" s="70">
        <f t="shared" si="130"/>
        <v>122514.95999999999</v>
      </c>
      <c r="X152" s="70">
        <f>SUM(X153:X158)</f>
        <v>103670.11</v>
      </c>
      <c r="Y152" s="70">
        <f t="shared" si="130"/>
        <v>226185.07</v>
      </c>
      <c r="Z152" s="70">
        <f>SUM(Z153:Z158)</f>
        <v>74872.25</v>
      </c>
      <c r="AA152" s="70">
        <f t="shared" si="130"/>
        <v>301057.32</v>
      </c>
      <c r="AB152" s="70">
        <f>SUM(AB153:AB158)</f>
        <v>-129716.24999999999</v>
      </c>
      <c r="AC152" s="70">
        <f t="shared" si="130"/>
        <v>171341.07</v>
      </c>
      <c r="AD152" s="70">
        <f>SUM(AD153:AD158)</f>
        <v>0</v>
      </c>
    </row>
    <row r="153" spans="1:30" ht="15.75">
      <c r="A153" s="29"/>
      <c r="B153" s="57">
        <v>3711</v>
      </c>
      <c r="C153" s="14" t="s">
        <v>147</v>
      </c>
      <c r="D153" s="18">
        <v>0</v>
      </c>
      <c r="E153" s="188">
        <f>0+8602+20000+12700-18844</f>
        <v>22458</v>
      </c>
      <c r="F153" s="18">
        <v>0</v>
      </c>
      <c r="G153" s="58">
        <f aca="true" t="shared" si="131" ref="G153:G158">+F153</f>
        <v>0</v>
      </c>
      <c r="H153" s="18">
        <v>0</v>
      </c>
      <c r="I153" s="58">
        <f aca="true" t="shared" si="132" ref="I153:I158">+G153+H153</f>
        <v>0</v>
      </c>
      <c r="J153" s="18">
        <v>0</v>
      </c>
      <c r="K153" s="58">
        <f aca="true" t="shared" si="133" ref="K153:K158">+I153+J153</f>
        <v>0</v>
      </c>
      <c r="L153" s="18">
        <v>0</v>
      </c>
      <c r="M153" s="58">
        <f aca="true" t="shared" si="134" ref="M153:M158">+K153+L153</f>
        <v>0</v>
      </c>
      <c r="N153" s="18">
        <v>0</v>
      </c>
      <c r="O153" s="58">
        <f aca="true" t="shared" si="135" ref="O153:O158">+M153+N153</f>
        <v>0</v>
      </c>
      <c r="P153" s="18">
        <v>0</v>
      </c>
      <c r="Q153" s="58">
        <f aca="true" t="shared" si="136" ref="Q153:Q158">+O153+P153</f>
        <v>0</v>
      </c>
      <c r="R153" s="18">
        <v>0</v>
      </c>
      <c r="S153" s="58">
        <f aca="true" t="shared" si="137" ref="S153:S158">+Q153+R153</f>
        <v>0</v>
      </c>
      <c r="T153" s="18">
        <v>0</v>
      </c>
      <c r="U153" s="58">
        <f aca="true" t="shared" si="138" ref="U153:U158">+S153+T153</f>
        <v>0</v>
      </c>
      <c r="V153" s="18">
        <v>0</v>
      </c>
      <c r="W153" s="58">
        <f aca="true" t="shared" si="139" ref="W153:W158">+U153+V153</f>
        <v>0</v>
      </c>
      <c r="X153" s="188">
        <f>0+8602</f>
        <v>8602</v>
      </c>
      <c r="Y153" s="58">
        <f aca="true" t="shared" si="140" ref="Y153:Y158">+W153+X153</f>
        <v>8602</v>
      </c>
      <c r="Z153" s="188">
        <f>0+20000</f>
        <v>20000</v>
      </c>
      <c r="AA153" s="58">
        <f aca="true" t="shared" si="141" ref="AA153:AA158">+Y153+Z153</f>
        <v>28602</v>
      </c>
      <c r="AB153" s="188">
        <f>0+12700-18844</f>
        <v>-6144</v>
      </c>
      <c r="AC153" s="15">
        <f aca="true" t="shared" si="142" ref="AC153:AC158">+AA153+AB153</f>
        <v>22458</v>
      </c>
      <c r="AD153" s="15">
        <f aca="true" t="shared" si="143" ref="AD153:AD158">+E153-AC153</f>
        <v>0</v>
      </c>
    </row>
    <row r="154" spans="1:30" ht="15.75">
      <c r="A154" s="29"/>
      <c r="B154" s="57">
        <v>3721</v>
      </c>
      <c r="C154" s="14" t="s">
        <v>148</v>
      </c>
      <c r="D154" s="18">
        <v>0</v>
      </c>
      <c r="E154" s="188">
        <f>0+581.4+581.4+2482.31+1950+4250.4+9206.46+7800+4458.64-4829.59</f>
        <v>26481.019999999997</v>
      </c>
      <c r="F154" s="18">
        <v>0</v>
      </c>
      <c r="G154" s="58">
        <f t="shared" si="131"/>
        <v>0</v>
      </c>
      <c r="H154" s="18">
        <v>0</v>
      </c>
      <c r="I154" s="58">
        <f t="shared" si="132"/>
        <v>0</v>
      </c>
      <c r="J154" s="188">
        <f>0+581.4</f>
        <v>581.4</v>
      </c>
      <c r="K154" s="58">
        <f t="shared" si="133"/>
        <v>581.4</v>
      </c>
      <c r="L154" s="188">
        <f>0+581.4</f>
        <v>581.4</v>
      </c>
      <c r="M154" s="58">
        <f t="shared" si="134"/>
        <v>1162.8</v>
      </c>
      <c r="N154" s="18">
        <v>0</v>
      </c>
      <c r="O154" s="58">
        <f t="shared" si="135"/>
        <v>1162.8</v>
      </c>
      <c r="P154" s="188">
        <f>0+2482.31</f>
        <v>2482.31</v>
      </c>
      <c r="Q154" s="58">
        <f t="shared" si="136"/>
        <v>3645.1099999999997</v>
      </c>
      <c r="R154" s="18">
        <v>0</v>
      </c>
      <c r="S154" s="58">
        <f t="shared" si="137"/>
        <v>3645.1099999999997</v>
      </c>
      <c r="T154" s="188">
        <v>1950</v>
      </c>
      <c r="U154" s="58">
        <f t="shared" si="138"/>
        <v>5595.11</v>
      </c>
      <c r="V154" s="18">
        <v>0</v>
      </c>
      <c r="W154" s="58">
        <f t="shared" si="139"/>
        <v>5595.11</v>
      </c>
      <c r="X154" s="188">
        <f>0+4250.4+9206.46</f>
        <v>13456.859999999999</v>
      </c>
      <c r="Y154" s="58">
        <f t="shared" si="140"/>
        <v>19051.969999999998</v>
      </c>
      <c r="Z154" s="188">
        <f>0+7800</f>
        <v>7800</v>
      </c>
      <c r="AA154" s="58">
        <f t="shared" si="141"/>
        <v>26851.969999999998</v>
      </c>
      <c r="AB154" s="188">
        <f>0+4458.64-4829.59</f>
        <v>-370.9499999999998</v>
      </c>
      <c r="AC154" s="15">
        <f t="shared" si="142"/>
        <v>26481.019999999997</v>
      </c>
      <c r="AD154" s="15">
        <f t="shared" si="143"/>
        <v>0</v>
      </c>
    </row>
    <row r="155" spans="1:30" ht="15.75">
      <c r="A155" s="29"/>
      <c r="B155" s="57">
        <v>3722</v>
      </c>
      <c r="C155" s="14" t="s">
        <v>182</v>
      </c>
      <c r="D155" s="18">
        <v>0</v>
      </c>
      <c r="E155" s="188">
        <f>0+475+1904+843+295+295.23+4038.27+2327.6+3369.9+1159+1867.3+3857.32+1428.83+3923+1195+2551.8+130+4410+2042.75+4529.5+8993.42+13471.06-3709.42</f>
        <v>59397.56</v>
      </c>
      <c r="F155" s="18">
        <v>0</v>
      </c>
      <c r="G155" s="58">
        <f t="shared" si="131"/>
        <v>0</v>
      </c>
      <c r="H155" s="188">
        <f>0+475+1904</f>
        <v>2379</v>
      </c>
      <c r="I155" s="58">
        <f t="shared" si="132"/>
        <v>2379</v>
      </c>
      <c r="J155" s="188">
        <f>0+843+295</f>
        <v>1138</v>
      </c>
      <c r="K155" s="58">
        <f t="shared" si="133"/>
        <v>3517</v>
      </c>
      <c r="L155" s="188">
        <f>0+295.23+4038.27</f>
        <v>4333.5</v>
      </c>
      <c r="M155" s="58">
        <f t="shared" si="134"/>
        <v>7850.5</v>
      </c>
      <c r="N155" s="188">
        <f>0+2327.6+3369.9</f>
        <v>5697.5</v>
      </c>
      <c r="O155" s="58">
        <f t="shared" si="135"/>
        <v>13548</v>
      </c>
      <c r="P155" s="188">
        <f>0+1159+1867.3</f>
        <v>3026.3</v>
      </c>
      <c r="Q155" s="58">
        <f t="shared" si="136"/>
        <v>16574.3</v>
      </c>
      <c r="R155" s="188">
        <f>0+3857.32+1428.83</f>
        <v>5286.15</v>
      </c>
      <c r="S155" s="58">
        <f t="shared" si="137"/>
        <v>21860.449999999997</v>
      </c>
      <c r="T155" s="188">
        <f>0+3923+1195</f>
        <v>5118</v>
      </c>
      <c r="U155" s="58">
        <f t="shared" si="138"/>
        <v>26978.449999999997</v>
      </c>
      <c r="V155" s="188">
        <f>0+2551.8</f>
        <v>2551.8</v>
      </c>
      <c r="W155" s="58">
        <f t="shared" si="139"/>
        <v>29530.249999999996</v>
      </c>
      <c r="X155" s="188">
        <f>0+130+4410</f>
        <v>4540</v>
      </c>
      <c r="Y155" s="58">
        <f t="shared" si="140"/>
        <v>34070.25</v>
      </c>
      <c r="Z155" s="188">
        <f>0+2042.75+4529.5</f>
        <v>6572.25</v>
      </c>
      <c r="AA155" s="58">
        <f t="shared" si="141"/>
        <v>40642.5</v>
      </c>
      <c r="AB155" s="188">
        <f>0+8993.42+13471.06-3709.42</f>
        <v>18755.059999999998</v>
      </c>
      <c r="AC155" s="15">
        <f t="shared" si="142"/>
        <v>59397.56</v>
      </c>
      <c r="AD155" s="15">
        <f t="shared" si="143"/>
        <v>0</v>
      </c>
    </row>
    <row r="156" spans="1:30" ht="15.75">
      <c r="A156" s="29"/>
      <c r="B156" s="57">
        <v>3751</v>
      </c>
      <c r="C156" s="14" t="s">
        <v>149</v>
      </c>
      <c r="D156" s="18">
        <v>50000</v>
      </c>
      <c r="E156" s="188">
        <f>50000+10876+4968+10200+11345.6+88260-17340+6151.25+40500+3850-145806.36</f>
        <v>63004.49000000002</v>
      </c>
      <c r="F156" s="18">
        <v>0</v>
      </c>
      <c r="G156" s="58">
        <f t="shared" si="131"/>
        <v>0</v>
      </c>
      <c r="H156" s="18">
        <v>50000</v>
      </c>
      <c r="I156" s="58">
        <f t="shared" si="132"/>
        <v>50000</v>
      </c>
      <c r="J156" s="188">
        <f>0+10876</f>
        <v>10876</v>
      </c>
      <c r="K156" s="58">
        <f t="shared" si="133"/>
        <v>60876</v>
      </c>
      <c r="L156" s="18">
        <v>0</v>
      </c>
      <c r="M156" s="58">
        <f t="shared" si="134"/>
        <v>60876</v>
      </c>
      <c r="N156" s="18">
        <v>0</v>
      </c>
      <c r="O156" s="58">
        <f t="shared" si="135"/>
        <v>60876</v>
      </c>
      <c r="P156" s="188">
        <f>0+4968</f>
        <v>4968</v>
      </c>
      <c r="Q156" s="58">
        <f t="shared" si="136"/>
        <v>65844</v>
      </c>
      <c r="R156" s="18">
        <v>0</v>
      </c>
      <c r="S156" s="58">
        <f t="shared" si="137"/>
        <v>65844</v>
      </c>
      <c r="T156" s="188">
        <f>0+10200</f>
        <v>10200</v>
      </c>
      <c r="U156" s="58">
        <f t="shared" si="138"/>
        <v>76044</v>
      </c>
      <c r="V156" s="188">
        <f>0+11345.6</f>
        <v>11345.6</v>
      </c>
      <c r="W156" s="58">
        <f t="shared" si="139"/>
        <v>87389.6</v>
      </c>
      <c r="X156" s="188">
        <f>0+88260-17340+6151.25</f>
        <v>77071.25</v>
      </c>
      <c r="Y156" s="58">
        <f t="shared" si="140"/>
        <v>164460.85</v>
      </c>
      <c r="Z156" s="188">
        <f>0+40500</f>
        <v>40500</v>
      </c>
      <c r="AA156" s="58">
        <f t="shared" si="141"/>
        <v>204960.85</v>
      </c>
      <c r="AB156" s="188">
        <f>0+3850-145806.36</f>
        <v>-141956.36</v>
      </c>
      <c r="AC156" s="15">
        <f t="shared" si="142"/>
        <v>63004.49000000002</v>
      </c>
      <c r="AD156" s="15">
        <f t="shared" si="143"/>
        <v>0</v>
      </c>
    </row>
    <row r="157" spans="1:30" ht="15">
      <c r="A157" s="29"/>
      <c r="B157" s="57">
        <v>3761</v>
      </c>
      <c r="C157" s="14" t="s">
        <v>151</v>
      </c>
      <c r="D157" s="18">
        <v>0</v>
      </c>
      <c r="E157" s="18">
        <v>0</v>
      </c>
      <c r="F157" s="18">
        <v>0</v>
      </c>
      <c r="G157" s="58">
        <f t="shared" si="131"/>
        <v>0</v>
      </c>
      <c r="H157" s="18">
        <v>0</v>
      </c>
      <c r="I157" s="58">
        <f t="shared" si="132"/>
        <v>0</v>
      </c>
      <c r="J157" s="18">
        <v>0</v>
      </c>
      <c r="K157" s="58">
        <f t="shared" si="133"/>
        <v>0</v>
      </c>
      <c r="L157" s="18">
        <v>0</v>
      </c>
      <c r="M157" s="58">
        <f t="shared" si="134"/>
        <v>0</v>
      </c>
      <c r="N157" s="18">
        <v>0</v>
      </c>
      <c r="O157" s="58">
        <f t="shared" si="135"/>
        <v>0</v>
      </c>
      <c r="P157" s="18">
        <v>0</v>
      </c>
      <c r="Q157" s="58">
        <f t="shared" si="136"/>
        <v>0</v>
      </c>
      <c r="R157" s="18">
        <v>0</v>
      </c>
      <c r="S157" s="58">
        <f t="shared" si="137"/>
        <v>0</v>
      </c>
      <c r="T157" s="18">
        <v>0</v>
      </c>
      <c r="U157" s="58">
        <f t="shared" si="138"/>
        <v>0</v>
      </c>
      <c r="V157" s="18">
        <v>0</v>
      </c>
      <c r="W157" s="58">
        <f t="shared" si="139"/>
        <v>0</v>
      </c>
      <c r="X157" s="18">
        <v>0</v>
      </c>
      <c r="Y157" s="58">
        <f t="shared" si="140"/>
        <v>0</v>
      </c>
      <c r="Z157" s="18">
        <v>0</v>
      </c>
      <c r="AA157" s="58">
        <f t="shared" si="141"/>
        <v>0</v>
      </c>
      <c r="AB157" s="18">
        <v>0</v>
      </c>
      <c r="AC157" s="15">
        <f t="shared" si="142"/>
        <v>0</v>
      </c>
      <c r="AD157" s="15">
        <f t="shared" si="143"/>
        <v>0</v>
      </c>
    </row>
    <row r="158" spans="1:30" ht="15">
      <c r="A158" s="29"/>
      <c r="B158" s="57">
        <v>3791</v>
      </c>
      <c r="C158" s="14" t="s">
        <v>150</v>
      </c>
      <c r="D158" s="18">
        <v>0</v>
      </c>
      <c r="E158" s="18">
        <v>0</v>
      </c>
      <c r="F158" s="18">
        <v>0</v>
      </c>
      <c r="G158" s="58">
        <f t="shared" si="131"/>
        <v>0</v>
      </c>
      <c r="H158" s="18">
        <v>0</v>
      </c>
      <c r="I158" s="58">
        <f t="shared" si="132"/>
        <v>0</v>
      </c>
      <c r="J158" s="18">
        <v>0</v>
      </c>
      <c r="K158" s="58">
        <f t="shared" si="133"/>
        <v>0</v>
      </c>
      <c r="L158" s="18">
        <v>0</v>
      </c>
      <c r="M158" s="58">
        <f t="shared" si="134"/>
        <v>0</v>
      </c>
      <c r="N158" s="18">
        <v>0</v>
      </c>
      <c r="O158" s="58">
        <f t="shared" si="135"/>
        <v>0</v>
      </c>
      <c r="P158" s="18">
        <v>0</v>
      </c>
      <c r="Q158" s="58">
        <f t="shared" si="136"/>
        <v>0</v>
      </c>
      <c r="R158" s="18">
        <v>0</v>
      </c>
      <c r="S158" s="58">
        <f t="shared" si="137"/>
        <v>0</v>
      </c>
      <c r="T158" s="18">
        <v>0</v>
      </c>
      <c r="U158" s="58">
        <f t="shared" si="138"/>
        <v>0</v>
      </c>
      <c r="V158" s="18">
        <v>0</v>
      </c>
      <c r="W158" s="58">
        <f t="shared" si="139"/>
        <v>0</v>
      </c>
      <c r="X158" s="18">
        <v>0</v>
      </c>
      <c r="Y158" s="58">
        <f t="shared" si="140"/>
        <v>0</v>
      </c>
      <c r="Z158" s="18">
        <v>0</v>
      </c>
      <c r="AA158" s="58">
        <f t="shared" si="141"/>
        <v>0</v>
      </c>
      <c r="AB158" s="18">
        <v>0</v>
      </c>
      <c r="AC158" s="15">
        <f t="shared" si="142"/>
        <v>0</v>
      </c>
      <c r="AD158" s="15">
        <f t="shared" si="143"/>
        <v>0</v>
      </c>
    </row>
    <row r="159" spans="1:29" ht="15">
      <c r="A159" s="29"/>
      <c r="B159" s="66"/>
      <c r="C159" s="14"/>
      <c r="D159" s="17"/>
      <c r="E159" s="17"/>
      <c r="F159" s="17"/>
      <c r="G159" s="59"/>
      <c r="H159" s="17"/>
      <c r="I159" s="15"/>
      <c r="J159" s="17"/>
      <c r="K159" s="15"/>
      <c r="L159" s="17"/>
      <c r="M159" s="15"/>
      <c r="N159" s="17"/>
      <c r="O159" s="15"/>
      <c r="P159" s="17"/>
      <c r="Q159" s="15"/>
      <c r="R159" s="17"/>
      <c r="S159" s="15"/>
      <c r="T159" s="17"/>
      <c r="U159" s="15"/>
      <c r="V159" s="17"/>
      <c r="W159" s="15"/>
      <c r="X159" s="17"/>
      <c r="Y159" s="15"/>
      <c r="Z159" s="17"/>
      <c r="AA159" s="15"/>
      <c r="AB159" s="17"/>
      <c r="AC159" s="15"/>
    </row>
    <row r="160" spans="1:30" ht="15.75">
      <c r="A160" s="29"/>
      <c r="B160" s="69">
        <v>3800</v>
      </c>
      <c r="C160" s="67" t="s">
        <v>47</v>
      </c>
      <c r="D160" s="70">
        <f>SUM(D161:D164)</f>
        <v>1099200</v>
      </c>
      <c r="E160" s="70">
        <f>SUM(E161:E164)</f>
        <v>2133588.3299999996</v>
      </c>
      <c r="F160" s="70">
        <f>SUM(F161:F164)</f>
        <v>91600</v>
      </c>
      <c r="G160" s="70">
        <f aca="true" t="shared" si="144" ref="G160:AC160">SUM(G161:G164)</f>
        <v>91600</v>
      </c>
      <c r="H160" s="70">
        <f>SUM(H161:H164)</f>
        <v>141093</v>
      </c>
      <c r="I160" s="70">
        <f t="shared" si="144"/>
        <v>232693</v>
      </c>
      <c r="J160" s="70">
        <f>SUM(J161:J164)</f>
        <v>122275.1</v>
      </c>
      <c r="K160" s="70">
        <f t="shared" si="144"/>
        <v>354968.1</v>
      </c>
      <c r="L160" s="70">
        <f>SUM(L161:L164)</f>
        <v>131672.46999999997</v>
      </c>
      <c r="M160" s="70">
        <f t="shared" si="144"/>
        <v>486640.56999999995</v>
      </c>
      <c r="N160" s="70">
        <f>SUM(N161:N164)</f>
        <v>374072.4</v>
      </c>
      <c r="O160" s="70">
        <f t="shared" si="144"/>
        <v>860712.97</v>
      </c>
      <c r="P160" s="70">
        <f>SUM(P161:P164)</f>
        <v>-118414.70999999999</v>
      </c>
      <c r="Q160" s="70">
        <f t="shared" si="144"/>
        <v>742298.26</v>
      </c>
      <c r="R160" s="70">
        <f>SUM(R161:R164)</f>
        <v>242570.08000000002</v>
      </c>
      <c r="S160" s="70">
        <f t="shared" si="144"/>
        <v>984868.3400000001</v>
      </c>
      <c r="T160" s="70">
        <f>SUM(T161:T164)</f>
        <v>333757</v>
      </c>
      <c r="U160" s="70">
        <f t="shared" si="144"/>
        <v>1318625.34</v>
      </c>
      <c r="V160" s="70">
        <f>SUM(V161:V164)</f>
        <v>96254.4</v>
      </c>
      <c r="W160" s="70">
        <f t="shared" si="144"/>
        <v>1414879.74</v>
      </c>
      <c r="X160" s="70">
        <f>SUM(X161:X164)</f>
        <v>433549.94</v>
      </c>
      <c r="Y160" s="70">
        <f t="shared" si="144"/>
        <v>1848429.68</v>
      </c>
      <c r="Z160" s="70">
        <f>SUM(Z161:Z164)</f>
        <v>537357.6</v>
      </c>
      <c r="AA160" s="70">
        <f t="shared" si="144"/>
        <v>2385787.2800000003</v>
      </c>
      <c r="AB160" s="70">
        <f>SUM(AB161:AB164)</f>
        <v>-252198.95</v>
      </c>
      <c r="AC160" s="70">
        <f t="shared" si="144"/>
        <v>2133588.33</v>
      </c>
      <c r="AD160" s="70">
        <f>SUM(AD161:AD164)</f>
        <v>0</v>
      </c>
    </row>
    <row r="161" spans="1:30" ht="15.75">
      <c r="A161" s="29"/>
      <c r="B161" s="57">
        <v>3821</v>
      </c>
      <c r="C161" s="14" t="s">
        <v>242</v>
      </c>
      <c r="D161" s="18">
        <v>0</v>
      </c>
      <c r="E161" s="188">
        <f>0+13000+3000+45900-2740</f>
        <v>59160</v>
      </c>
      <c r="F161" s="18">
        <v>0</v>
      </c>
      <c r="G161" s="58">
        <f>+F161</f>
        <v>0</v>
      </c>
      <c r="H161" s="18">
        <v>0</v>
      </c>
      <c r="I161" s="58">
        <f>+G161+H161</f>
        <v>0</v>
      </c>
      <c r="J161" s="18">
        <v>0</v>
      </c>
      <c r="K161" s="58">
        <f>+I161+J161</f>
        <v>0</v>
      </c>
      <c r="L161" s="18">
        <v>0</v>
      </c>
      <c r="M161" s="58">
        <f>+K161+L161</f>
        <v>0</v>
      </c>
      <c r="N161" s="18">
        <v>0</v>
      </c>
      <c r="O161" s="58">
        <f>+M161+N161</f>
        <v>0</v>
      </c>
      <c r="P161" s="18">
        <v>0</v>
      </c>
      <c r="Q161" s="58">
        <f>+O161+P161</f>
        <v>0</v>
      </c>
      <c r="R161" s="18">
        <v>0</v>
      </c>
      <c r="S161" s="58">
        <f>+Q161+R161</f>
        <v>0</v>
      </c>
      <c r="T161" s="18">
        <v>0</v>
      </c>
      <c r="U161" s="58">
        <f>+S161+T161</f>
        <v>0</v>
      </c>
      <c r="V161" s="188">
        <f>0+13000</f>
        <v>13000</v>
      </c>
      <c r="W161" s="58">
        <f>+U161+V161</f>
        <v>13000</v>
      </c>
      <c r="X161" s="188">
        <f>0+3000</f>
        <v>3000</v>
      </c>
      <c r="Y161" s="58">
        <f>+W161+X161</f>
        <v>16000</v>
      </c>
      <c r="Z161" s="188">
        <f>0+45900</f>
        <v>45900</v>
      </c>
      <c r="AA161" s="58">
        <f>+Y161+Z161</f>
        <v>61900</v>
      </c>
      <c r="AB161" s="188">
        <f>0-2740</f>
        <v>-2740</v>
      </c>
      <c r="AC161" s="15">
        <f>+AA161+AB161</f>
        <v>59160</v>
      </c>
      <c r="AD161" s="15">
        <f>+E161-AC161</f>
        <v>0</v>
      </c>
    </row>
    <row r="162" spans="1:30" ht="15.75">
      <c r="A162" s="29"/>
      <c r="B162" s="57">
        <v>3822</v>
      </c>
      <c r="C162" s="14" t="s">
        <v>152</v>
      </c>
      <c r="D162" s="18">
        <v>0</v>
      </c>
      <c r="E162" s="188">
        <f>0+1000+1094.99+9870</f>
        <v>11964.99</v>
      </c>
      <c r="F162" s="18">
        <v>0</v>
      </c>
      <c r="G162" s="58">
        <f>+F162</f>
        <v>0</v>
      </c>
      <c r="H162" s="18">
        <v>0</v>
      </c>
      <c r="I162" s="58">
        <f>+G162+H162</f>
        <v>0</v>
      </c>
      <c r="J162" s="18">
        <v>0</v>
      </c>
      <c r="K162" s="58">
        <f>+I162+J162</f>
        <v>0</v>
      </c>
      <c r="L162" s="188">
        <f>0+1000</f>
        <v>1000</v>
      </c>
      <c r="M162" s="58">
        <f>+K162+L162</f>
        <v>1000</v>
      </c>
      <c r="N162" s="18">
        <v>0</v>
      </c>
      <c r="O162" s="58">
        <f>+M162+N162</f>
        <v>1000</v>
      </c>
      <c r="P162" s="18">
        <v>0</v>
      </c>
      <c r="Q162" s="58">
        <f>+O162+P162</f>
        <v>1000</v>
      </c>
      <c r="R162" s="18">
        <v>0</v>
      </c>
      <c r="S162" s="58">
        <f>+Q162+R162</f>
        <v>1000</v>
      </c>
      <c r="T162" s="18">
        <v>0</v>
      </c>
      <c r="U162" s="58">
        <f>+S162+T162</f>
        <v>1000</v>
      </c>
      <c r="V162" s="18">
        <v>0</v>
      </c>
      <c r="W162" s="58">
        <f>+U162+V162</f>
        <v>1000</v>
      </c>
      <c r="X162" s="188">
        <f>0+1094.99</f>
        <v>1094.99</v>
      </c>
      <c r="Y162" s="58">
        <f>+W162+X162</f>
        <v>2094.99</v>
      </c>
      <c r="Z162" s="18">
        <v>0</v>
      </c>
      <c r="AA162" s="58">
        <f>+Y162+Z162</f>
        <v>2094.99</v>
      </c>
      <c r="AB162" s="188">
        <f>0+9870</f>
        <v>9870</v>
      </c>
      <c r="AC162" s="15">
        <f>+AA162+AB162</f>
        <v>11964.99</v>
      </c>
      <c r="AD162" s="15">
        <f>+E162-AC162</f>
        <v>0</v>
      </c>
    </row>
    <row r="163" spans="1:30" ht="15.75">
      <c r="A163" s="29"/>
      <c r="B163" s="57">
        <v>3831</v>
      </c>
      <c r="C163" s="14" t="s">
        <v>153</v>
      </c>
      <c r="D163" s="18">
        <v>1099200</v>
      </c>
      <c r="E163" s="188">
        <f>1099200+50000-507+43000-12314.9-10+40000-425.73-501.8-2327.6+284800+2900-212914.71+219192.9-68222.82+246080-3923+3000-11345.6+369000-31145.05+402910-3052.4+8529.95-40573.87+3407.03-322292.06</f>
        <v>2062463.3399999994</v>
      </c>
      <c r="F163" s="18">
        <v>91600</v>
      </c>
      <c r="G163" s="58">
        <f>+F163</f>
        <v>91600</v>
      </c>
      <c r="H163" s="188">
        <f>91600+50000-507</f>
        <v>141093</v>
      </c>
      <c r="I163" s="58">
        <f>+G163+H163</f>
        <v>232693</v>
      </c>
      <c r="J163" s="188">
        <f>91600+43000-12314.9-10</f>
        <v>122275.1</v>
      </c>
      <c r="K163" s="58">
        <f>+I163+J163</f>
        <v>354968.1</v>
      </c>
      <c r="L163" s="188">
        <f>91600+40000-425.73-501.8</f>
        <v>130672.46999999999</v>
      </c>
      <c r="M163" s="58">
        <f>+K163+L163</f>
        <v>485640.56999999995</v>
      </c>
      <c r="N163" s="188">
        <f>91600-2327.6+284800</f>
        <v>374072.4</v>
      </c>
      <c r="O163" s="58">
        <f>+M163+N163</f>
        <v>859712.97</v>
      </c>
      <c r="P163" s="188">
        <f>91600+2900-212914.71</f>
        <v>-118414.70999999999</v>
      </c>
      <c r="Q163" s="58">
        <f>+O163+P163</f>
        <v>741298.26</v>
      </c>
      <c r="R163" s="188">
        <f>91600+219192.9-68222.82</f>
        <v>242570.08000000002</v>
      </c>
      <c r="S163" s="58">
        <f>+Q163+R163</f>
        <v>983868.3400000001</v>
      </c>
      <c r="T163" s="188">
        <f>91600+246080-3923</f>
        <v>333757</v>
      </c>
      <c r="U163" s="58">
        <f>+S163+T163</f>
        <v>1317625.34</v>
      </c>
      <c r="V163" s="188">
        <f>91600+3000-11345.6</f>
        <v>83254.4</v>
      </c>
      <c r="W163" s="58">
        <f>+U163+V163</f>
        <v>1400879.74</v>
      </c>
      <c r="X163" s="188">
        <f>91600+369000-31145.05</f>
        <v>429454.95</v>
      </c>
      <c r="Y163" s="58">
        <f>+W163+X163</f>
        <v>1830334.69</v>
      </c>
      <c r="Z163" s="188">
        <f>91600+402910-3052.4</f>
        <v>491457.6</v>
      </c>
      <c r="AA163" s="58">
        <f>+Y163+Z163</f>
        <v>2321792.29</v>
      </c>
      <c r="AB163" s="188">
        <f>91600+8529.95-40573.87+3407.03-322292.06</f>
        <v>-259328.95</v>
      </c>
      <c r="AC163" s="15">
        <f>+AA163+AB163</f>
        <v>2062463.34</v>
      </c>
      <c r="AD163" s="15">
        <f>+E163-AC163</f>
        <v>0</v>
      </c>
    </row>
    <row r="164" spans="1:30" ht="15">
      <c r="A164" s="29"/>
      <c r="B164" s="57">
        <v>3841</v>
      </c>
      <c r="C164" s="14" t="s">
        <v>189</v>
      </c>
      <c r="D164" s="18">
        <v>0</v>
      </c>
      <c r="E164" s="18">
        <v>0</v>
      </c>
      <c r="F164" s="18">
        <v>0</v>
      </c>
      <c r="G164" s="58">
        <f>+F164</f>
        <v>0</v>
      </c>
      <c r="H164" s="18">
        <v>0</v>
      </c>
      <c r="I164" s="58">
        <f>+G164+H164</f>
        <v>0</v>
      </c>
      <c r="J164" s="18">
        <v>0</v>
      </c>
      <c r="K164" s="58">
        <f>+I164+J164</f>
        <v>0</v>
      </c>
      <c r="L164" s="18">
        <v>0</v>
      </c>
      <c r="M164" s="58">
        <f>+K164+L164</f>
        <v>0</v>
      </c>
      <c r="N164" s="18">
        <v>0</v>
      </c>
      <c r="O164" s="58">
        <f>+M164+N164</f>
        <v>0</v>
      </c>
      <c r="P164" s="18">
        <v>0</v>
      </c>
      <c r="Q164" s="58">
        <f>+O164+P164</f>
        <v>0</v>
      </c>
      <c r="R164" s="18">
        <v>0</v>
      </c>
      <c r="S164" s="58">
        <f>+Q164+R164</f>
        <v>0</v>
      </c>
      <c r="T164" s="18">
        <v>0</v>
      </c>
      <c r="U164" s="58">
        <f>+S164+T164</f>
        <v>0</v>
      </c>
      <c r="V164" s="18">
        <v>0</v>
      </c>
      <c r="W164" s="58">
        <f>+U164+V164</f>
        <v>0</v>
      </c>
      <c r="X164" s="18">
        <v>0</v>
      </c>
      <c r="Y164" s="58">
        <f>+W164+X164</f>
        <v>0</v>
      </c>
      <c r="Z164" s="18">
        <v>0</v>
      </c>
      <c r="AA164" s="58">
        <f>+Y164+Z164</f>
        <v>0</v>
      </c>
      <c r="AB164" s="18">
        <v>0</v>
      </c>
      <c r="AC164" s="15">
        <f>+AA164+AB164</f>
        <v>0</v>
      </c>
      <c r="AD164" s="15">
        <f>+E164-AC164</f>
        <v>0</v>
      </c>
    </row>
    <row r="165" spans="1:29" ht="15">
      <c r="A165" s="29"/>
      <c r="B165" s="57"/>
      <c r="C165" s="14"/>
      <c r="D165" s="72"/>
      <c r="E165" s="72"/>
      <c r="F165" s="72"/>
      <c r="G165" s="59"/>
      <c r="H165" s="72"/>
      <c r="I165" s="15"/>
      <c r="J165" s="72"/>
      <c r="K165" s="15"/>
      <c r="L165" s="72"/>
      <c r="M165" s="15"/>
      <c r="N165" s="72"/>
      <c r="O165" s="15"/>
      <c r="P165" s="72"/>
      <c r="Q165" s="15"/>
      <c r="R165" s="72"/>
      <c r="S165" s="15"/>
      <c r="T165" s="72"/>
      <c r="U165" s="15"/>
      <c r="V165" s="72"/>
      <c r="W165" s="15"/>
      <c r="X165" s="72"/>
      <c r="Y165" s="15"/>
      <c r="Z165" s="72"/>
      <c r="AA165" s="15"/>
      <c r="AB165" s="72"/>
      <c r="AC165" s="15"/>
    </row>
    <row r="166" spans="1:30" ht="15.75">
      <c r="A166" s="29"/>
      <c r="B166" s="69">
        <v>3900</v>
      </c>
      <c r="C166" s="67" t="s">
        <v>154</v>
      </c>
      <c r="D166" s="70">
        <f>SUM(D167:D171)</f>
        <v>6472576.53</v>
      </c>
      <c r="E166" s="70">
        <f>SUM(E167:E171)</f>
        <v>7521805.5600000005</v>
      </c>
      <c r="F166" s="70">
        <f>SUM(F167:F171)</f>
        <v>450417.57</v>
      </c>
      <c r="G166" s="70">
        <f aca="true" t="shared" si="145" ref="G166:AC166">SUM(G167:G171)</f>
        <v>450417.57</v>
      </c>
      <c r="H166" s="70">
        <f>SUM(H167:H171)</f>
        <v>355227.57</v>
      </c>
      <c r="I166" s="70">
        <f t="shared" si="145"/>
        <v>805645.14</v>
      </c>
      <c r="J166" s="70">
        <f>SUM(J167:J171)</f>
        <v>1393306.53</v>
      </c>
      <c r="K166" s="70">
        <f t="shared" si="145"/>
        <v>2198951.67</v>
      </c>
      <c r="L166" s="70">
        <f>SUM(L167:L171)</f>
        <v>355227.57</v>
      </c>
      <c r="M166" s="70">
        <f t="shared" si="145"/>
        <v>2554179.24</v>
      </c>
      <c r="N166" s="70">
        <f>SUM(N167:N171)</f>
        <v>134127.57000000007</v>
      </c>
      <c r="O166" s="70">
        <f t="shared" si="145"/>
        <v>2688306.81</v>
      </c>
      <c r="P166" s="70">
        <f>SUM(P167:P171)</f>
        <v>597199.43</v>
      </c>
      <c r="Q166" s="70">
        <f t="shared" si="145"/>
        <v>3285506.24</v>
      </c>
      <c r="R166" s="70">
        <f>SUM(R167:R171)</f>
        <v>396635.38</v>
      </c>
      <c r="S166" s="70">
        <f t="shared" si="145"/>
        <v>3682141.62</v>
      </c>
      <c r="T166" s="70">
        <f>SUM(T167:T171)</f>
        <v>374290.21</v>
      </c>
      <c r="U166" s="70">
        <f t="shared" si="145"/>
        <v>4056431.83</v>
      </c>
      <c r="V166" s="70">
        <f>SUM(V167:V171)</f>
        <v>610189.79</v>
      </c>
      <c r="W166" s="70">
        <f t="shared" si="145"/>
        <v>4666621.62</v>
      </c>
      <c r="X166" s="70">
        <f>SUM(X167:X171)</f>
        <v>605217.26</v>
      </c>
      <c r="Y166" s="70">
        <f t="shared" si="145"/>
        <v>5271838.88</v>
      </c>
      <c r="Z166" s="70">
        <f>SUM(Z167:Z171)</f>
        <v>718366.5900000001</v>
      </c>
      <c r="AA166" s="70">
        <f t="shared" si="145"/>
        <v>5990205.47</v>
      </c>
      <c r="AB166" s="70">
        <f>SUM(AB167:AB171)</f>
        <v>1531600.0899999999</v>
      </c>
      <c r="AC166" s="70">
        <f t="shared" si="145"/>
        <v>7521805.56</v>
      </c>
      <c r="AD166" s="70">
        <f>SUM(AD167:AD171)</f>
        <v>0</v>
      </c>
    </row>
    <row r="167" spans="1:30" ht="15">
      <c r="A167" s="29"/>
      <c r="B167" s="57">
        <v>3911</v>
      </c>
      <c r="C167" s="26" t="s">
        <v>221</v>
      </c>
      <c r="D167" s="18">
        <v>0</v>
      </c>
      <c r="E167" s="18">
        <v>0</v>
      </c>
      <c r="F167" s="18">
        <v>0</v>
      </c>
      <c r="G167" s="58">
        <f>+F167</f>
        <v>0</v>
      </c>
      <c r="H167" s="18">
        <v>0</v>
      </c>
      <c r="I167" s="58">
        <f>+G167+H167</f>
        <v>0</v>
      </c>
      <c r="J167" s="18">
        <v>0</v>
      </c>
      <c r="K167" s="58">
        <f>+I167+J167</f>
        <v>0</v>
      </c>
      <c r="L167" s="18">
        <v>0</v>
      </c>
      <c r="M167" s="58">
        <f>+K167+L167</f>
        <v>0</v>
      </c>
      <c r="N167" s="18">
        <v>0</v>
      </c>
      <c r="O167" s="58">
        <f>+M167+N167</f>
        <v>0</v>
      </c>
      <c r="P167" s="18">
        <v>0</v>
      </c>
      <c r="Q167" s="58">
        <f>+O167+P167</f>
        <v>0</v>
      </c>
      <c r="R167" s="18">
        <v>0</v>
      </c>
      <c r="S167" s="58">
        <f>+Q167+R167</f>
        <v>0</v>
      </c>
      <c r="T167" s="18">
        <v>0</v>
      </c>
      <c r="U167" s="58">
        <f>+S167+T167</f>
        <v>0</v>
      </c>
      <c r="V167" s="18">
        <v>0</v>
      </c>
      <c r="W167" s="58">
        <f>+U167+V167</f>
        <v>0</v>
      </c>
      <c r="X167" s="18">
        <v>0</v>
      </c>
      <c r="Y167" s="58">
        <f>+W167+X167</f>
        <v>0</v>
      </c>
      <c r="Z167" s="18">
        <v>0</v>
      </c>
      <c r="AA167" s="58">
        <f>+Y167+Z167</f>
        <v>0</v>
      </c>
      <c r="AB167" s="18">
        <v>0</v>
      </c>
      <c r="AC167" s="15">
        <f>+AA167+AB167</f>
        <v>0</v>
      </c>
      <c r="AD167" s="15">
        <f>+E167-AC167</f>
        <v>0</v>
      </c>
    </row>
    <row r="168" spans="1:30" ht="15.75">
      <c r="A168" s="29"/>
      <c r="B168" s="57">
        <v>3921</v>
      </c>
      <c r="C168" s="14" t="s">
        <v>155</v>
      </c>
      <c r="D168" s="18">
        <v>101890</v>
      </c>
      <c r="E168" s="188">
        <f>101890+472+1808+1416-32626</f>
        <v>72960</v>
      </c>
      <c r="F168" s="18">
        <v>95190</v>
      </c>
      <c r="G168" s="58">
        <f>+F168</f>
        <v>95190</v>
      </c>
      <c r="H168" s="18">
        <v>0</v>
      </c>
      <c r="I168" s="58">
        <f>+G168+H168</f>
        <v>95190</v>
      </c>
      <c r="J168" s="18">
        <v>300</v>
      </c>
      <c r="K168" s="58">
        <f>+I168+J168</f>
        <v>95490</v>
      </c>
      <c r="L168" s="18">
        <v>0</v>
      </c>
      <c r="M168" s="58">
        <f>+K168+L168</f>
        <v>95490</v>
      </c>
      <c r="N168" s="18">
        <v>4600</v>
      </c>
      <c r="O168" s="58">
        <f>+M168+N168</f>
        <v>100090</v>
      </c>
      <c r="P168" s="18">
        <v>0</v>
      </c>
      <c r="Q168" s="58">
        <f>+O168+P168</f>
        <v>100090</v>
      </c>
      <c r="R168" s="18">
        <v>600</v>
      </c>
      <c r="S168" s="58">
        <f>+Q168+R168</f>
        <v>100690</v>
      </c>
      <c r="T168" s="18">
        <v>0</v>
      </c>
      <c r="U168" s="58">
        <f>+S168+T168</f>
        <v>100690</v>
      </c>
      <c r="V168" s="188">
        <f>600+472</f>
        <v>1072</v>
      </c>
      <c r="W168" s="58">
        <f>+U168+V168</f>
        <v>101762</v>
      </c>
      <c r="X168" s="188">
        <f>0+1808</f>
        <v>1808</v>
      </c>
      <c r="Y168" s="58">
        <f>+W168+X168</f>
        <v>103570</v>
      </c>
      <c r="Z168" s="18">
        <v>600</v>
      </c>
      <c r="AA168" s="58">
        <f>+Y168+Z168</f>
        <v>104170</v>
      </c>
      <c r="AB168" s="188">
        <f>0+1416-32626</f>
        <v>-31210</v>
      </c>
      <c r="AC168" s="15">
        <f>+AA168+AB168</f>
        <v>72960</v>
      </c>
      <c r="AD168" s="15">
        <f>+E168-AC168</f>
        <v>0</v>
      </c>
    </row>
    <row r="169" spans="1:30" ht="15.75">
      <c r="A169" s="29"/>
      <c r="B169" s="57">
        <v>3941</v>
      </c>
      <c r="C169" s="14" t="s">
        <v>229</v>
      </c>
      <c r="D169" s="18">
        <v>1000000</v>
      </c>
      <c r="E169" s="188">
        <f>1000000-1000000</f>
        <v>0</v>
      </c>
      <c r="F169" s="18">
        <v>0</v>
      </c>
      <c r="G169" s="58">
        <f>+F169</f>
        <v>0</v>
      </c>
      <c r="H169" s="18">
        <v>0</v>
      </c>
      <c r="I169" s="58">
        <f>+G169+H169</f>
        <v>0</v>
      </c>
      <c r="J169" s="18">
        <v>1000000</v>
      </c>
      <c r="K169" s="58">
        <f>+I169+J169</f>
        <v>1000000</v>
      </c>
      <c r="L169" s="18">
        <v>0</v>
      </c>
      <c r="M169" s="58">
        <f>+K169+L169</f>
        <v>1000000</v>
      </c>
      <c r="N169" s="188">
        <f>0-1000000</f>
        <v>-1000000</v>
      </c>
      <c r="O169" s="58">
        <f>+M169+N169</f>
        <v>0</v>
      </c>
      <c r="P169" s="18">
        <v>0</v>
      </c>
      <c r="Q169" s="58">
        <f>+O169+P169</f>
        <v>0</v>
      </c>
      <c r="R169" s="18">
        <v>0</v>
      </c>
      <c r="S169" s="58">
        <f>+Q169+R169</f>
        <v>0</v>
      </c>
      <c r="T169" s="18">
        <v>0</v>
      </c>
      <c r="U169" s="58">
        <f>+S169+T169</f>
        <v>0</v>
      </c>
      <c r="V169" s="18">
        <v>0</v>
      </c>
      <c r="W169" s="58">
        <f>+U169+V169</f>
        <v>0</v>
      </c>
      <c r="X169" s="18">
        <v>0</v>
      </c>
      <c r="Y169" s="58">
        <f>+W169+X169</f>
        <v>0</v>
      </c>
      <c r="Z169" s="18">
        <v>0</v>
      </c>
      <c r="AA169" s="58">
        <f>+Y169+Z169</f>
        <v>0</v>
      </c>
      <c r="AB169" s="18">
        <v>0</v>
      </c>
      <c r="AC169" s="15">
        <f>+AA169+AB169</f>
        <v>0</v>
      </c>
      <c r="AD169" s="15">
        <f>+E169-AC169</f>
        <v>0</v>
      </c>
    </row>
    <row r="170" spans="1:30" ht="15.75">
      <c r="A170" s="29"/>
      <c r="B170" s="57">
        <v>3981</v>
      </c>
      <c r="C170" s="14" t="s">
        <v>2</v>
      </c>
      <c r="D170" s="18">
        <v>5370686.53</v>
      </c>
      <c r="E170" s="188">
        <f>5370686.53+13000-13000+6000-6000+10246.6-10246.6+774300+213192.9-9000-204192.9+199000+9205.31-9205.31+19062.64+216111.26+248181.69+362539.02+1258964.42-1000000</f>
        <v>7448845.5600000005</v>
      </c>
      <c r="F170" s="188">
        <f>355227.57+13000-13000</f>
        <v>355227.57</v>
      </c>
      <c r="G170" s="58">
        <f>+F170</f>
        <v>355227.57</v>
      </c>
      <c r="H170" s="188">
        <f>355227.57+15000-15000</f>
        <v>355227.57</v>
      </c>
      <c r="I170" s="58">
        <f>+G170+H170</f>
        <v>710455.14</v>
      </c>
      <c r="J170" s="188">
        <f>393006.53+6000-6000</f>
        <v>393006.53</v>
      </c>
      <c r="K170" s="58">
        <f>+I170+J170</f>
        <v>1103461.67</v>
      </c>
      <c r="L170" s="188">
        <f>355227.57+10246.6-10246.6</f>
        <v>355227.57</v>
      </c>
      <c r="M170" s="58">
        <f>+K170+L170</f>
        <v>1458689.24</v>
      </c>
      <c r="N170" s="188">
        <f>355227.57+774300</f>
        <v>1129527.57</v>
      </c>
      <c r="O170" s="58">
        <f>+M170+N170</f>
        <v>2588216.81</v>
      </c>
      <c r="P170" s="188">
        <f>393006.53+213192.9-9000</f>
        <v>597199.43</v>
      </c>
      <c r="Q170" s="58">
        <f>+O170+P170</f>
        <v>3185416.24</v>
      </c>
      <c r="R170" s="188">
        <f>401228.28-204192.9+199000</f>
        <v>396035.38</v>
      </c>
      <c r="S170" s="58">
        <f>+Q170+R170</f>
        <v>3581451.62</v>
      </c>
      <c r="T170" s="188">
        <f>355227.57+9205.31-9205.31+19062.64</f>
        <v>374290.21</v>
      </c>
      <c r="U170" s="58">
        <f>+S170+T170</f>
        <v>3955741.83</v>
      </c>
      <c r="V170" s="188">
        <f>393006.53+216111.26</f>
        <v>609117.79</v>
      </c>
      <c r="W170" s="58">
        <f>+U170+V170</f>
        <v>4564859.62</v>
      </c>
      <c r="X170" s="188">
        <f>355227.57+248181.69</f>
        <v>603409.26</v>
      </c>
      <c r="Y170" s="58">
        <f>+W170+X170</f>
        <v>5168268.88</v>
      </c>
      <c r="Z170" s="188">
        <f>355227.57+362539.02</f>
        <v>717766.5900000001</v>
      </c>
      <c r="AA170" s="58">
        <f>+Y170+Z170</f>
        <v>5886035.47</v>
      </c>
      <c r="AB170" s="188">
        <f>1303845.67+1258964.42-1000000</f>
        <v>1562810.0899999999</v>
      </c>
      <c r="AC170" s="15">
        <f>+AA170+AB170</f>
        <v>7448845.56</v>
      </c>
      <c r="AD170" s="15">
        <f>+E170-AC170</f>
        <v>0</v>
      </c>
    </row>
    <row r="171" spans="1:30" ht="15">
      <c r="A171" s="29"/>
      <c r="B171" s="57">
        <v>3999</v>
      </c>
      <c r="C171" s="14" t="s">
        <v>154</v>
      </c>
      <c r="D171" s="18">
        <v>0</v>
      </c>
      <c r="E171" s="18">
        <v>0</v>
      </c>
      <c r="F171" s="18">
        <v>0</v>
      </c>
      <c r="G171" s="58">
        <f>+F171</f>
        <v>0</v>
      </c>
      <c r="H171" s="18">
        <v>0</v>
      </c>
      <c r="I171" s="58">
        <f>+G171+H171</f>
        <v>0</v>
      </c>
      <c r="J171" s="18">
        <v>0</v>
      </c>
      <c r="K171" s="58">
        <f>+I171+J171</f>
        <v>0</v>
      </c>
      <c r="L171" s="18">
        <v>0</v>
      </c>
      <c r="M171" s="58">
        <f>+K171+L171</f>
        <v>0</v>
      </c>
      <c r="N171" s="18">
        <v>0</v>
      </c>
      <c r="O171" s="58">
        <f>+M171+N171</f>
        <v>0</v>
      </c>
      <c r="P171" s="18">
        <v>0</v>
      </c>
      <c r="Q171" s="58">
        <f>+O171+P171</f>
        <v>0</v>
      </c>
      <c r="R171" s="18">
        <v>0</v>
      </c>
      <c r="S171" s="58">
        <f>+Q171+R171</f>
        <v>0</v>
      </c>
      <c r="T171" s="18">
        <v>0</v>
      </c>
      <c r="U171" s="58">
        <f>+S171+T171</f>
        <v>0</v>
      </c>
      <c r="V171" s="18">
        <v>0</v>
      </c>
      <c r="W171" s="58">
        <f>+U171+V171</f>
        <v>0</v>
      </c>
      <c r="X171" s="18">
        <v>0</v>
      </c>
      <c r="Y171" s="58">
        <f>+W171+X171</f>
        <v>0</v>
      </c>
      <c r="Z171" s="18">
        <v>0</v>
      </c>
      <c r="AA171" s="58">
        <f>+Y171+Z171</f>
        <v>0</v>
      </c>
      <c r="AB171" s="18">
        <v>0</v>
      </c>
      <c r="AC171" s="15">
        <f>+AA171+AB171</f>
        <v>0</v>
      </c>
      <c r="AD171" s="15">
        <f>+E171-AC171</f>
        <v>0</v>
      </c>
    </row>
    <row r="172" spans="1:29" ht="15">
      <c r="A172" s="29"/>
      <c r="B172" s="57"/>
      <c r="C172" s="14"/>
      <c r="D172" s="18"/>
      <c r="E172" s="18"/>
      <c r="F172" s="18"/>
      <c r="G172" s="59"/>
      <c r="H172" s="18"/>
      <c r="I172" s="15"/>
      <c r="J172" s="18"/>
      <c r="K172" s="15"/>
      <c r="L172" s="18"/>
      <c r="M172" s="15"/>
      <c r="N172" s="18"/>
      <c r="O172" s="15"/>
      <c r="P172" s="18"/>
      <c r="Q172" s="15"/>
      <c r="R172" s="18"/>
      <c r="S172" s="15"/>
      <c r="T172" s="18"/>
      <c r="U172" s="15"/>
      <c r="V172" s="18"/>
      <c r="W172" s="15"/>
      <c r="X172" s="18"/>
      <c r="Y172" s="15"/>
      <c r="Z172" s="18"/>
      <c r="AA172" s="15"/>
      <c r="AB172" s="18"/>
      <c r="AC172" s="15"/>
    </row>
    <row r="173" spans="1:30" ht="15.75">
      <c r="A173" s="29"/>
      <c r="B173" s="130"/>
      <c r="C173" s="133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</row>
    <row r="174" spans="1:30" ht="15">
      <c r="A174" s="29"/>
      <c r="B174" s="131"/>
      <c r="C174" s="132"/>
      <c r="D174" s="140"/>
      <c r="E174" s="140"/>
      <c r="F174" s="140"/>
      <c r="G174" s="137"/>
      <c r="H174" s="140"/>
      <c r="I174" s="138"/>
      <c r="J174" s="140"/>
      <c r="K174" s="138"/>
      <c r="L174" s="140"/>
      <c r="M174" s="138"/>
      <c r="N174" s="140"/>
      <c r="O174" s="138"/>
      <c r="P174" s="140"/>
      <c r="Q174" s="138"/>
      <c r="R174" s="140"/>
      <c r="S174" s="138"/>
      <c r="T174" s="140"/>
      <c r="U174" s="138"/>
      <c r="V174" s="140"/>
      <c r="W174" s="138"/>
      <c r="X174" s="140"/>
      <c r="Y174" s="138"/>
      <c r="Z174" s="140"/>
      <c r="AA174" s="138"/>
      <c r="AB174" s="140"/>
      <c r="AC174" s="138"/>
      <c r="AD174" s="141"/>
    </row>
    <row r="175" spans="1:51" ht="15">
      <c r="A175" s="29"/>
      <c r="D175" s="15"/>
      <c r="E175" s="15"/>
      <c r="F175" s="15"/>
      <c r="G175" s="20"/>
      <c r="H175" s="15"/>
      <c r="I175" s="20"/>
      <c r="J175" s="15"/>
      <c r="K175" s="20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41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</row>
    <row r="176" spans="1:51" ht="16.5" thickBot="1">
      <c r="A176" s="29"/>
      <c r="B176" s="84">
        <v>5000</v>
      </c>
      <c r="C176" s="126" t="s">
        <v>156</v>
      </c>
      <c r="D176" s="97">
        <f>+D178+D192+D196</f>
        <v>3436474.5199999996</v>
      </c>
      <c r="E176" s="97">
        <f>+E178+E192+E196</f>
        <v>2165018.8</v>
      </c>
      <c r="F176" s="97">
        <f>+F178+F192+F196</f>
        <v>0</v>
      </c>
      <c r="G176" s="97">
        <f aca="true" t="shared" si="146" ref="G176:AC176">+G178+G192+G196</f>
        <v>0</v>
      </c>
      <c r="H176" s="97">
        <f>+H178+H192+H196</f>
        <v>0</v>
      </c>
      <c r="I176" s="97">
        <f t="shared" si="146"/>
        <v>0</v>
      </c>
      <c r="J176" s="97">
        <f>+J178+J192+J196</f>
        <v>310966.88</v>
      </c>
      <c r="K176" s="97">
        <f t="shared" si="146"/>
        <v>310966.88</v>
      </c>
      <c r="L176" s="97">
        <f>+L178+L192+L196</f>
        <v>248944.33</v>
      </c>
      <c r="M176" s="97">
        <f>+M178+M192+M196</f>
        <v>559911.21</v>
      </c>
      <c r="N176" s="97">
        <f>+N178+N192+N196</f>
        <v>1498981.16</v>
      </c>
      <c r="O176" s="97">
        <f t="shared" si="146"/>
        <v>2058892.3699999999</v>
      </c>
      <c r="P176" s="97">
        <f>+P178+P192+P196</f>
        <v>0</v>
      </c>
      <c r="Q176" s="97">
        <f t="shared" si="146"/>
        <v>2058892.3699999999</v>
      </c>
      <c r="R176" s="97">
        <f>+R178+R192+R196</f>
        <v>-3000</v>
      </c>
      <c r="S176" s="97">
        <f t="shared" si="146"/>
        <v>2055892.3699999999</v>
      </c>
      <c r="T176" s="97">
        <f>+T178+T192+T196</f>
        <v>0</v>
      </c>
      <c r="U176" s="97">
        <f t="shared" si="146"/>
        <v>2055892.3699999999</v>
      </c>
      <c r="V176" s="97">
        <f>+V178+V192+V196</f>
        <v>0</v>
      </c>
      <c r="W176" s="97">
        <f t="shared" si="146"/>
        <v>2055892.3699999999</v>
      </c>
      <c r="X176" s="97">
        <f>+X178+X192+X196</f>
        <v>0</v>
      </c>
      <c r="Y176" s="97">
        <f t="shared" si="146"/>
        <v>2055892.3699999999</v>
      </c>
      <c r="Z176" s="97">
        <f>+Z178+Z192+Z196</f>
        <v>413108.31</v>
      </c>
      <c r="AA176" s="97">
        <f t="shared" si="146"/>
        <v>2469000.6799999997</v>
      </c>
      <c r="AB176" s="97">
        <f>+AB178+AB192+AB196</f>
        <v>-303981.88</v>
      </c>
      <c r="AC176" s="97">
        <f t="shared" si="146"/>
        <v>2165018.8</v>
      </c>
      <c r="AD176" s="97">
        <f>+AD178+AD192+AD196</f>
        <v>0</v>
      </c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</row>
    <row r="177" spans="1:51" ht="16.5" thickTop="1">
      <c r="A177" s="29"/>
      <c r="D177" s="15"/>
      <c r="E177" s="15"/>
      <c r="F177" s="15"/>
      <c r="G177" s="73"/>
      <c r="H177" s="15"/>
      <c r="I177" s="73"/>
      <c r="J177" s="15"/>
      <c r="K177" s="73"/>
      <c r="L177" s="15"/>
      <c r="M177" s="73"/>
      <c r="N177" s="15"/>
      <c r="O177" s="73"/>
      <c r="P177" s="15"/>
      <c r="Q177" s="73"/>
      <c r="R177" s="15"/>
      <c r="S177" s="73"/>
      <c r="T177" s="15"/>
      <c r="U177" s="73"/>
      <c r="V177" s="15"/>
      <c r="W177" s="73"/>
      <c r="X177" s="15"/>
      <c r="Y177" s="73"/>
      <c r="Z177" s="15"/>
      <c r="AA177" s="73"/>
      <c r="AB177" s="15"/>
      <c r="AC177" s="73"/>
      <c r="AD177" s="85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</row>
    <row r="178" spans="1:51" ht="15.75">
      <c r="A178" s="29"/>
      <c r="B178" s="16">
        <v>5100</v>
      </c>
      <c r="C178" s="77" t="s">
        <v>83</v>
      </c>
      <c r="D178" s="70">
        <f>SUM(D179:D190)</f>
        <v>1942493.3599999999</v>
      </c>
      <c r="E178" s="70">
        <f>SUM(E179:E190)</f>
        <v>1068450.35</v>
      </c>
      <c r="F178" s="70">
        <f>SUM(F179:F190)</f>
        <v>0</v>
      </c>
      <c r="G178" s="70">
        <f aca="true" t="shared" si="147" ref="G178:AC178">SUM(G179:G190)</f>
        <v>0</v>
      </c>
      <c r="H178" s="70">
        <f>SUM(H179:H190)</f>
        <v>0</v>
      </c>
      <c r="I178" s="70">
        <f t="shared" si="147"/>
        <v>0</v>
      </c>
      <c r="J178" s="70">
        <f>SUM(J179:J190)</f>
        <v>310966.88</v>
      </c>
      <c r="K178" s="70">
        <f t="shared" si="147"/>
        <v>310966.88</v>
      </c>
      <c r="L178" s="70">
        <f>SUM(L179:L190)</f>
        <v>248944.33</v>
      </c>
      <c r="M178" s="70">
        <f>SUM(M179:M190)</f>
        <v>559911.21</v>
      </c>
      <c r="N178" s="70">
        <f>SUM(N179:N190)</f>
        <v>5000</v>
      </c>
      <c r="O178" s="70">
        <f t="shared" si="147"/>
        <v>564911.21</v>
      </c>
      <c r="P178" s="70">
        <f>SUM(P179:P190)</f>
        <v>0</v>
      </c>
      <c r="Q178" s="70">
        <f t="shared" si="147"/>
        <v>564911.21</v>
      </c>
      <c r="R178" s="70">
        <f>SUM(R179:R190)</f>
        <v>-3000</v>
      </c>
      <c r="S178" s="70">
        <f t="shared" si="147"/>
        <v>561911.21</v>
      </c>
      <c r="T178" s="70">
        <f>SUM(T179:T190)</f>
        <v>0</v>
      </c>
      <c r="U178" s="70">
        <f t="shared" si="147"/>
        <v>561911.21</v>
      </c>
      <c r="V178" s="70">
        <f>SUM(V179:V190)</f>
        <v>0</v>
      </c>
      <c r="W178" s="70">
        <f t="shared" si="147"/>
        <v>561911.21</v>
      </c>
      <c r="X178" s="70">
        <f>SUM(X179:X190)</f>
        <v>0</v>
      </c>
      <c r="Y178" s="70">
        <f t="shared" si="147"/>
        <v>561911.21</v>
      </c>
      <c r="Z178" s="70">
        <f>SUM(Z179:Z190)</f>
        <v>645000</v>
      </c>
      <c r="AA178" s="70">
        <f t="shared" si="147"/>
        <v>1206911.21</v>
      </c>
      <c r="AB178" s="70">
        <f>SUM(AB179:AB190)</f>
        <v>-138460.86</v>
      </c>
      <c r="AC178" s="70">
        <f t="shared" si="147"/>
        <v>1068450.35</v>
      </c>
      <c r="AD178" s="70">
        <f>SUM(AD179:AD190)</f>
        <v>0</v>
      </c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</row>
    <row r="179" spans="1:51" ht="15.75">
      <c r="A179" s="29"/>
      <c r="B179" s="8">
        <v>5111</v>
      </c>
      <c r="C179" s="8" t="s">
        <v>183</v>
      </c>
      <c r="D179" s="18">
        <v>0</v>
      </c>
      <c r="E179" s="188">
        <f>0+5000+3000-3000-464.4</f>
        <v>4535.6</v>
      </c>
      <c r="F179" s="18">
        <v>0</v>
      </c>
      <c r="G179" s="58">
        <f aca="true" t="shared" si="148" ref="G179:G190">+F179</f>
        <v>0</v>
      </c>
      <c r="H179" s="18">
        <v>0</v>
      </c>
      <c r="I179" s="58">
        <f aca="true" t="shared" si="149" ref="I179:I190">+G179+H179</f>
        <v>0</v>
      </c>
      <c r="J179" s="18">
        <v>0</v>
      </c>
      <c r="K179" s="58">
        <f aca="true" t="shared" si="150" ref="K179:K190">+I179+J179</f>
        <v>0</v>
      </c>
      <c r="L179" s="18">
        <v>0</v>
      </c>
      <c r="M179" s="58">
        <f aca="true" t="shared" si="151" ref="M179:M190">+K179+L179</f>
        <v>0</v>
      </c>
      <c r="N179" s="188">
        <f>0+5000</f>
        <v>5000</v>
      </c>
      <c r="O179" s="58">
        <f aca="true" t="shared" si="152" ref="O179:O190">+M179+N179</f>
        <v>5000</v>
      </c>
      <c r="P179" s="188">
        <f>0+3000</f>
        <v>3000</v>
      </c>
      <c r="Q179" s="58">
        <f aca="true" t="shared" si="153" ref="Q179:Q190">+O179+P179</f>
        <v>8000</v>
      </c>
      <c r="R179" s="188">
        <f>0-3000</f>
        <v>-3000</v>
      </c>
      <c r="S179" s="58">
        <f aca="true" t="shared" si="154" ref="S179:S190">+Q179+R179</f>
        <v>5000</v>
      </c>
      <c r="T179" s="18">
        <v>0</v>
      </c>
      <c r="U179" s="58">
        <f aca="true" t="shared" si="155" ref="U179:U190">+S179+T179</f>
        <v>5000</v>
      </c>
      <c r="V179" s="18">
        <v>0</v>
      </c>
      <c r="W179" s="58">
        <f aca="true" t="shared" si="156" ref="W179:W190">+U179+V179</f>
        <v>5000</v>
      </c>
      <c r="X179" s="18">
        <v>0</v>
      </c>
      <c r="Y179" s="58">
        <f aca="true" t="shared" si="157" ref="Y179:Y190">+W179+X179</f>
        <v>5000</v>
      </c>
      <c r="Z179" s="18">
        <v>0</v>
      </c>
      <c r="AA179" s="58">
        <f aca="true" t="shared" si="158" ref="AA179:AA190">+Y179+Z179</f>
        <v>5000</v>
      </c>
      <c r="AB179" s="188">
        <f>0-464.4</f>
        <v>-464.4</v>
      </c>
      <c r="AC179" s="15">
        <f aca="true" t="shared" si="159" ref="AC179:AC190">+AA179+AB179</f>
        <v>4535.6</v>
      </c>
      <c r="AD179" s="15">
        <f aca="true" t="shared" si="160" ref="AD179:AD190">+E179-AC179</f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</row>
    <row r="180" spans="1:51" ht="15.75">
      <c r="A180" s="29"/>
      <c r="B180" s="8">
        <v>5121</v>
      </c>
      <c r="C180" s="8" t="s">
        <v>237</v>
      </c>
      <c r="D180" s="18">
        <v>0</v>
      </c>
      <c r="E180" s="188">
        <f>0+8000-1515.6</f>
        <v>6484.4</v>
      </c>
      <c r="F180" s="18">
        <v>0</v>
      </c>
      <c r="G180" s="58">
        <f>+F180</f>
        <v>0</v>
      </c>
      <c r="H180" s="18">
        <v>0</v>
      </c>
      <c r="I180" s="58">
        <f>+G180+H180</f>
        <v>0</v>
      </c>
      <c r="J180" s="18">
        <v>0</v>
      </c>
      <c r="K180" s="58">
        <f>+I180+J180</f>
        <v>0</v>
      </c>
      <c r="L180" s="18">
        <v>0</v>
      </c>
      <c r="M180" s="58">
        <f>+K180+L180</f>
        <v>0</v>
      </c>
      <c r="N180" s="18">
        <v>0</v>
      </c>
      <c r="O180" s="58">
        <f t="shared" si="152"/>
        <v>0</v>
      </c>
      <c r="P180" s="188">
        <f>0+8000</f>
        <v>8000</v>
      </c>
      <c r="Q180" s="58">
        <f t="shared" si="153"/>
        <v>8000</v>
      </c>
      <c r="R180" s="18">
        <v>0</v>
      </c>
      <c r="S180" s="58">
        <f t="shared" si="154"/>
        <v>8000</v>
      </c>
      <c r="T180" s="18">
        <v>0</v>
      </c>
      <c r="U180" s="58">
        <f t="shared" si="155"/>
        <v>8000</v>
      </c>
      <c r="V180" s="18">
        <v>0</v>
      </c>
      <c r="W180" s="58">
        <f t="shared" si="156"/>
        <v>8000</v>
      </c>
      <c r="X180" s="18">
        <v>0</v>
      </c>
      <c r="Y180" s="58">
        <f t="shared" si="157"/>
        <v>8000</v>
      </c>
      <c r="Z180" s="18">
        <v>0</v>
      </c>
      <c r="AA180" s="58">
        <f t="shared" si="158"/>
        <v>8000</v>
      </c>
      <c r="AB180" s="188">
        <f>0-1515.6</f>
        <v>-1515.6</v>
      </c>
      <c r="AC180" s="15">
        <f>+AA180+AB180</f>
        <v>6484.4</v>
      </c>
      <c r="AD180" s="15">
        <f t="shared" si="160"/>
        <v>0</v>
      </c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</row>
    <row r="181" spans="1:51" ht="15.75">
      <c r="A181" s="29"/>
      <c r="B181" s="8">
        <v>5151</v>
      </c>
      <c r="C181" s="8" t="s">
        <v>210</v>
      </c>
      <c r="D181" s="18">
        <v>806253.11</v>
      </c>
      <c r="E181" s="188">
        <f>806253.11+198944.33+890000-245000-124508.16-681760.71-17956.8</f>
        <v>825971.77</v>
      </c>
      <c r="F181" s="18">
        <v>0</v>
      </c>
      <c r="G181" s="58">
        <f t="shared" si="148"/>
        <v>0</v>
      </c>
      <c r="H181" s="18">
        <v>0</v>
      </c>
      <c r="I181" s="58">
        <f t="shared" si="149"/>
        <v>0</v>
      </c>
      <c r="J181" s="18">
        <v>124492.4</v>
      </c>
      <c r="K181" s="58">
        <f t="shared" si="150"/>
        <v>124492.4</v>
      </c>
      <c r="L181" s="188">
        <f>0+198944.33</f>
        <v>198944.33</v>
      </c>
      <c r="M181" s="58">
        <f t="shared" si="151"/>
        <v>323436.73</v>
      </c>
      <c r="N181" s="18">
        <v>0</v>
      </c>
      <c r="O181" s="58">
        <f t="shared" si="152"/>
        <v>323436.73</v>
      </c>
      <c r="P181" s="18">
        <v>0</v>
      </c>
      <c r="Q181" s="58">
        <f t="shared" si="153"/>
        <v>323436.73</v>
      </c>
      <c r="R181" s="18">
        <v>0</v>
      </c>
      <c r="S181" s="58">
        <f t="shared" si="154"/>
        <v>323436.73</v>
      </c>
      <c r="T181" s="18">
        <v>0</v>
      </c>
      <c r="U181" s="58">
        <f t="shared" si="155"/>
        <v>323436.73</v>
      </c>
      <c r="V181" s="18">
        <v>0</v>
      </c>
      <c r="W181" s="58">
        <f t="shared" si="156"/>
        <v>323436.73</v>
      </c>
      <c r="X181" s="18">
        <v>0</v>
      </c>
      <c r="Y181" s="58">
        <f t="shared" si="157"/>
        <v>323436.73</v>
      </c>
      <c r="Z181" s="188">
        <f>0+890000-245000</f>
        <v>645000</v>
      </c>
      <c r="AA181" s="58">
        <f t="shared" si="158"/>
        <v>968436.73</v>
      </c>
      <c r="AB181" s="188">
        <f>681760.71-124508.16-681760.71-17956.8</f>
        <v>-142464.96000000002</v>
      </c>
      <c r="AC181" s="15">
        <f t="shared" si="159"/>
        <v>825971.77</v>
      </c>
      <c r="AD181" s="15">
        <f t="shared" si="160"/>
        <v>0</v>
      </c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</row>
    <row r="182" spans="1:51" ht="15.75">
      <c r="A182" s="29"/>
      <c r="B182" s="8">
        <v>5191</v>
      </c>
      <c r="C182" s="8" t="s">
        <v>184</v>
      </c>
      <c r="D182" s="18">
        <v>996840.25</v>
      </c>
      <c r="E182" s="188">
        <f>996840.25+50000-11000-8940.7-949765.77</f>
        <v>77133.78000000003</v>
      </c>
      <c r="F182" s="18">
        <v>0</v>
      </c>
      <c r="G182" s="58">
        <f>+F182</f>
        <v>0</v>
      </c>
      <c r="H182" s="18">
        <v>0</v>
      </c>
      <c r="I182" s="58">
        <f>+G182+H182</f>
        <v>0</v>
      </c>
      <c r="J182" s="18">
        <v>47074.48</v>
      </c>
      <c r="K182" s="58">
        <f>+I182+J182</f>
        <v>47074.48</v>
      </c>
      <c r="L182" s="188">
        <f>0+50000</f>
        <v>50000</v>
      </c>
      <c r="M182" s="58">
        <f>+K182+L182</f>
        <v>97074.48000000001</v>
      </c>
      <c r="N182" s="18">
        <v>0</v>
      </c>
      <c r="O182" s="58">
        <f t="shared" si="152"/>
        <v>97074.48000000001</v>
      </c>
      <c r="P182" s="188">
        <f>0-11000</f>
        <v>-11000</v>
      </c>
      <c r="Q182" s="58">
        <f t="shared" si="153"/>
        <v>86074.48000000001</v>
      </c>
      <c r="R182" s="18">
        <v>0</v>
      </c>
      <c r="S182" s="58">
        <f t="shared" si="154"/>
        <v>86074.48000000001</v>
      </c>
      <c r="T182" s="18">
        <v>0</v>
      </c>
      <c r="U182" s="58">
        <f t="shared" si="155"/>
        <v>86074.48000000001</v>
      </c>
      <c r="V182" s="18">
        <v>0</v>
      </c>
      <c r="W182" s="58">
        <f t="shared" si="156"/>
        <v>86074.48000000001</v>
      </c>
      <c r="X182" s="18">
        <v>0</v>
      </c>
      <c r="Y182" s="58">
        <f t="shared" si="157"/>
        <v>86074.48000000001</v>
      </c>
      <c r="Z182" s="18">
        <v>0</v>
      </c>
      <c r="AA182" s="58">
        <f t="shared" si="158"/>
        <v>86074.48000000001</v>
      </c>
      <c r="AB182" s="188">
        <f>949765.77-8940.7-949765.77</f>
        <v>-8940.699999999953</v>
      </c>
      <c r="AC182" s="15">
        <f t="shared" si="159"/>
        <v>77133.78000000006</v>
      </c>
      <c r="AD182" s="15">
        <f t="shared" si="160"/>
        <v>0</v>
      </c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</row>
    <row r="183" spans="1:51" ht="15">
      <c r="A183" s="29"/>
      <c r="B183" s="8">
        <v>5211</v>
      </c>
      <c r="C183" s="8" t="s">
        <v>220</v>
      </c>
      <c r="D183" s="18">
        <v>0</v>
      </c>
      <c r="E183" s="18">
        <v>0</v>
      </c>
      <c r="F183" s="18">
        <v>0</v>
      </c>
      <c r="G183" s="58">
        <f>+F183</f>
        <v>0</v>
      </c>
      <c r="H183" s="18">
        <v>0</v>
      </c>
      <c r="I183" s="58">
        <f>+G183+H183</f>
        <v>0</v>
      </c>
      <c r="J183" s="18">
        <v>0</v>
      </c>
      <c r="K183" s="58">
        <f>+I183+J183</f>
        <v>0</v>
      </c>
      <c r="L183" s="18">
        <v>0</v>
      </c>
      <c r="M183" s="58">
        <f>+K183+L183</f>
        <v>0</v>
      </c>
      <c r="N183" s="18">
        <v>0</v>
      </c>
      <c r="O183" s="58">
        <f t="shared" si="152"/>
        <v>0</v>
      </c>
      <c r="P183" s="18">
        <v>0</v>
      </c>
      <c r="Q183" s="58">
        <f t="shared" si="153"/>
        <v>0</v>
      </c>
      <c r="R183" s="18">
        <v>0</v>
      </c>
      <c r="S183" s="58">
        <f t="shared" si="154"/>
        <v>0</v>
      </c>
      <c r="T183" s="18">
        <v>0</v>
      </c>
      <c r="U183" s="58">
        <f t="shared" si="155"/>
        <v>0</v>
      </c>
      <c r="V183" s="18">
        <v>0</v>
      </c>
      <c r="W183" s="58">
        <f t="shared" si="156"/>
        <v>0</v>
      </c>
      <c r="X183" s="18">
        <v>0</v>
      </c>
      <c r="Y183" s="58">
        <f t="shared" si="157"/>
        <v>0</v>
      </c>
      <c r="Z183" s="18">
        <v>0</v>
      </c>
      <c r="AA183" s="58">
        <f t="shared" si="158"/>
        <v>0</v>
      </c>
      <c r="AB183" s="18">
        <v>0</v>
      </c>
      <c r="AC183" s="15">
        <f>+AA183+AB183</f>
        <v>0</v>
      </c>
      <c r="AD183" s="15">
        <f t="shared" si="160"/>
        <v>0</v>
      </c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</row>
    <row r="184" spans="1:51" ht="15.75">
      <c r="A184" s="29"/>
      <c r="B184" s="8">
        <v>5231</v>
      </c>
      <c r="C184" s="8" t="s">
        <v>227</v>
      </c>
      <c r="D184" s="18">
        <v>139400</v>
      </c>
      <c r="E184" s="188">
        <f>139400-3032</f>
        <v>136368</v>
      </c>
      <c r="F184" s="18">
        <v>0</v>
      </c>
      <c r="G184" s="15">
        <f>+F184</f>
        <v>0</v>
      </c>
      <c r="H184" s="18">
        <v>0</v>
      </c>
      <c r="I184" s="15">
        <f t="shared" si="149"/>
        <v>0</v>
      </c>
      <c r="J184" s="18">
        <v>139400</v>
      </c>
      <c r="K184" s="58">
        <f>+I184+J184</f>
        <v>139400</v>
      </c>
      <c r="L184" s="18">
        <v>0</v>
      </c>
      <c r="M184" s="58">
        <f>+K184+L184</f>
        <v>139400</v>
      </c>
      <c r="N184" s="18">
        <v>0</v>
      </c>
      <c r="O184" s="58">
        <f t="shared" si="152"/>
        <v>139400</v>
      </c>
      <c r="P184" s="18">
        <v>0</v>
      </c>
      <c r="Q184" s="58">
        <f t="shared" si="153"/>
        <v>139400</v>
      </c>
      <c r="R184" s="18">
        <v>0</v>
      </c>
      <c r="S184" s="58">
        <f>+Q184+R184</f>
        <v>139400</v>
      </c>
      <c r="T184" s="18">
        <v>0</v>
      </c>
      <c r="U184" s="58">
        <f>+S184+T184</f>
        <v>139400</v>
      </c>
      <c r="V184" s="18">
        <v>0</v>
      </c>
      <c r="W184" s="58">
        <f t="shared" si="156"/>
        <v>139400</v>
      </c>
      <c r="X184" s="18">
        <v>0</v>
      </c>
      <c r="Y184" s="58">
        <f t="shared" si="157"/>
        <v>139400</v>
      </c>
      <c r="Z184" s="18">
        <v>0</v>
      </c>
      <c r="AA184" s="58">
        <f t="shared" si="158"/>
        <v>139400</v>
      </c>
      <c r="AB184" s="188">
        <f>0-3032</f>
        <v>-3032</v>
      </c>
      <c r="AC184" s="15">
        <f>+AA184+AB184</f>
        <v>136368</v>
      </c>
      <c r="AD184" s="15">
        <f t="shared" si="160"/>
        <v>0</v>
      </c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</row>
    <row r="185" spans="1:51" ht="15">
      <c r="A185" s="29"/>
      <c r="B185" s="8">
        <v>5413</v>
      </c>
      <c r="C185" s="8" t="s">
        <v>211</v>
      </c>
      <c r="D185" s="18">
        <v>0</v>
      </c>
      <c r="E185" s="18">
        <v>0</v>
      </c>
      <c r="F185" s="18">
        <v>0</v>
      </c>
      <c r="G185" s="15">
        <f t="shared" si="148"/>
        <v>0</v>
      </c>
      <c r="H185" s="18">
        <v>0</v>
      </c>
      <c r="I185" s="15">
        <f t="shared" si="149"/>
        <v>0</v>
      </c>
      <c r="J185" s="18">
        <v>0</v>
      </c>
      <c r="K185" s="15">
        <f t="shared" si="150"/>
        <v>0</v>
      </c>
      <c r="L185" s="18">
        <v>0</v>
      </c>
      <c r="M185" s="58">
        <f>+K185+L185</f>
        <v>0</v>
      </c>
      <c r="N185" s="18">
        <v>0</v>
      </c>
      <c r="O185" s="58">
        <f t="shared" si="152"/>
        <v>0</v>
      </c>
      <c r="P185" s="18">
        <v>0</v>
      </c>
      <c r="Q185" s="58">
        <f t="shared" si="153"/>
        <v>0</v>
      </c>
      <c r="R185" s="18">
        <v>0</v>
      </c>
      <c r="S185" s="58">
        <f t="shared" si="154"/>
        <v>0</v>
      </c>
      <c r="T185" s="18">
        <v>0</v>
      </c>
      <c r="U185" s="58">
        <f t="shared" si="155"/>
        <v>0</v>
      </c>
      <c r="V185" s="18">
        <v>0</v>
      </c>
      <c r="W185" s="58">
        <f t="shared" si="156"/>
        <v>0</v>
      </c>
      <c r="X185" s="18">
        <v>0</v>
      </c>
      <c r="Y185" s="58">
        <f t="shared" si="157"/>
        <v>0</v>
      </c>
      <c r="Z185" s="18">
        <v>0</v>
      </c>
      <c r="AA185" s="58">
        <f t="shared" si="158"/>
        <v>0</v>
      </c>
      <c r="AB185" s="18">
        <v>0</v>
      </c>
      <c r="AC185" s="15">
        <f t="shared" si="159"/>
        <v>0</v>
      </c>
      <c r="AD185" s="15">
        <f t="shared" si="160"/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</row>
    <row r="186" spans="1:51" ht="15">
      <c r="A186" s="29"/>
      <c r="B186" s="8">
        <v>5621</v>
      </c>
      <c r="C186" s="8" t="s">
        <v>233</v>
      </c>
      <c r="D186" s="18">
        <v>0</v>
      </c>
      <c r="E186" s="18">
        <v>0</v>
      </c>
      <c r="F186" s="18">
        <v>0</v>
      </c>
      <c r="G186" s="15">
        <f>+F186</f>
        <v>0</v>
      </c>
      <c r="H186" s="18">
        <v>0</v>
      </c>
      <c r="I186" s="15">
        <f>+G186+H186</f>
        <v>0</v>
      </c>
      <c r="J186" s="18">
        <v>0</v>
      </c>
      <c r="K186" s="15">
        <f t="shared" si="150"/>
        <v>0</v>
      </c>
      <c r="L186" s="18">
        <v>0</v>
      </c>
      <c r="M186" s="58">
        <f t="shared" si="151"/>
        <v>0</v>
      </c>
      <c r="N186" s="18">
        <v>0</v>
      </c>
      <c r="O186" s="58">
        <f t="shared" si="152"/>
        <v>0</v>
      </c>
      <c r="P186" s="18">
        <v>0</v>
      </c>
      <c r="Q186" s="58">
        <f t="shared" si="153"/>
        <v>0</v>
      </c>
      <c r="R186" s="18">
        <v>0</v>
      </c>
      <c r="S186" s="58">
        <f t="shared" si="154"/>
        <v>0</v>
      </c>
      <c r="T186" s="18">
        <v>0</v>
      </c>
      <c r="U186" s="58">
        <f t="shared" si="155"/>
        <v>0</v>
      </c>
      <c r="V186" s="18">
        <v>0</v>
      </c>
      <c r="W186" s="58">
        <f t="shared" si="156"/>
        <v>0</v>
      </c>
      <c r="X186" s="18">
        <v>0</v>
      </c>
      <c r="Y186" s="58">
        <f t="shared" si="157"/>
        <v>0</v>
      </c>
      <c r="Z186" s="18">
        <v>0</v>
      </c>
      <c r="AA186" s="58">
        <f t="shared" si="158"/>
        <v>0</v>
      </c>
      <c r="AB186" s="18">
        <v>0</v>
      </c>
      <c r="AC186" s="15">
        <f>+AA186+AB186</f>
        <v>0</v>
      </c>
      <c r="AD186" s="15">
        <f>+E186-AC186</f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</row>
    <row r="187" spans="1:51" ht="15">
      <c r="A187" s="29"/>
      <c r="B187" s="8">
        <v>5641</v>
      </c>
      <c r="C187" s="8" t="s">
        <v>185</v>
      </c>
      <c r="D187" s="18">
        <v>0</v>
      </c>
      <c r="E187" s="18">
        <v>0</v>
      </c>
      <c r="F187" s="18">
        <v>0</v>
      </c>
      <c r="G187" s="58">
        <f t="shared" si="148"/>
        <v>0</v>
      </c>
      <c r="H187" s="18">
        <v>0</v>
      </c>
      <c r="I187" s="58">
        <f t="shared" si="149"/>
        <v>0</v>
      </c>
      <c r="J187" s="18">
        <v>0</v>
      </c>
      <c r="K187" s="58">
        <f t="shared" si="150"/>
        <v>0</v>
      </c>
      <c r="L187" s="18">
        <v>0</v>
      </c>
      <c r="M187" s="58">
        <f t="shared" si="151"/>
        <v>0</v>
      </c>
      <c r="N187" s="18">
        <v>0</v>
      </c>
      <c r="O187" s="58">
        <f t="shared" si="152"/>
        <v>0</v>
      </c>
      <c r="P187" s="18">
        <v>0</v>
      </c>
      <c r="Q187" s="58">
        <f t="shared" si="153"/>
        <v>0</v>
      </c>
      <c r="R187" s="18">
        <v>0</v>
      </c>
      <c r="S187" s="58">
        <f t="shared" si="154"/>
        <v>0</v>
      </c>
      <c r="T187" s="18">
        <v>0</v>
      </c>
      <c r="U187" s="58">
        <f t="shared" si="155"/>
        <v>0</v>
      </c>
      <c r="V187" s="18">
        <v>0</v>
      </c>
      <c r="W187" s="58">
        <f t="shared" si="156"/>
        <v>0</v>
      </c>
      <c r="X187" s="18">
        <v>0</v>
      </c>
      <c r="Y187" s="58">
        <f t="shared" si="157"/>
        <v>0</v>
      </c>
      <c r="Z187" s="18">
        <v>0</v>
      </c>
      <c r="AA187" s="58">
        <f t="shared" si="158"/>
        <v>0</v>
      </c>
      <c r="AB187" s="18">
        <v>0</v>
      </c>
      <c r="AC187" s="15">
        <f t="shared" si="159"/>
        <v>0</v>
      </c>
      <c r="AD187" s="15">
        <f t="shared" si="160"/>
        <v>0</v>
      </c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</row>
    <row r="188" spans="1:51" ht="15">
      <c r="A188" s="29"/>
      <c r="B188" s="8">
        <v>5651</v>
      </c>
      <c r="C188" s="8" t="s">
        <v>212</v>
      </c>
      <c r="D188" s="18">
        <v>0</v>
      </c>
      <c r="E188" s="18">
        <v>0</v>
      </c>
      <c r="F188" s="18">
        <v>0</v>
      </c>
      <c r="G188" s="58">
        <f t="shared" si="148"/>
        <v>0</v>
      </c>
      <c r="H188" s="18">
        <v>0</v>
      </c>
      <c r="I188" s="58">
        <f t="shared" si="149"/>
        <v>0</v>
      </c>
      <c r="J188" s="18">
        <v>0</v>
      </c>
      <c r="K188" s="58">
        <f t="shared" si="150"/>
        <v>0</v>
      </c>
      <c r="L188" s="18">
        <v>0</v>
      </c>
      <c r="M188" s="58">
        <f t="shared" si="151"/>
        <v>0</v>
      </c>
      <c r="N188" s="18">
        <v>0</v>
      </c>
      <c r="O188" s="58">
        <f t="shared" si="152"/>
        <v>0</v>
      </c>
      <c r="P188" s="18">
        <v>0</v>
      </c>
      <c r="Q188" s="58">
        <f t="shared" si="153"/>
        <v>0</v>
      </c>
      <c r="R188" s="18">
        <v>0</v>
      </c>
      <c r="S188" s="58">
        <f t="shared" si="154"/>
        <v>0</v>
      </c>
      <c r="T188" s="18">
        <v>0</v>
      </c>
      <c r="U188" s="58">
        <f t="shared" si="155"/>
        <v>0</v>
      </c>
      <c r="V188" s="18">
        <v>0</v>
      </c>
      <c r="W188" s="58">
        <f t="shared" si="156"/>
        <v>0</v>
      </c>
      <c r="X188" s="18">
        <v>0</v>
      </c>
      <c r="Y188" s="58">
        <f t="shared" si="157"/>
        <v>0</v>
      </c>
      <c r="Z188" s="18">
        <v>0</v>
      </c>
      <c r="AA188" s="58">
        <f t="shared" si="158"/>
        <v>0</v>
      </c>
      <c r="AB188" s="18">
        <v>0</v>
      </c>
      <c r="AC188" s="15">
        <f t="shared" si="159"/>
        <v>0</v>
      </c>
      <c r="AD188" s="15">
        <f t="shared" si="160"/>
        <v>0</v>
      </c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</row>
    <row r="189" spans="1:51" ht="15.75">
      <c r="A189" s="29"/>
      <c r="B189" s="8">
        <v>5661</v>
      </c>
      <c r="C189" s="8" t="s">
        <v>247</v>
      </c>
      <c r="D189" s="18">
        <v>0</v>
      </c>
      <c r="E189" s="188">
        <f>0+17956.8</f>
        <v>17956.8</v>
      </c>
      <c r="F189" s="18">
        <v>0</v>
      </c>
      <c r="G189" s="58">
        <f t="shared" si="148"/>
        <v>0</v>
      </c>
      <c r="H189" s="18">
        <v>0</v>
      </c>
      <c r="I189" s="58">
        <f t="shared" si="149"/>
        <v>0</v>
      </c>
      <c r="J189" s="18">
        <v>0</v>
      </c>
      <c r="K189" s="58">
        <f t="shared" si="150"/>
        <v>0</v>
      </c>
      <c r="L189" s="18">
        <v>0</v>
      </c>
      <c r="M189" s="58">
        <f t="shared" si="151"/>
        <v>0</v>
      </c>
      <c r="N189" s="18">
        <v>0</v>
      </c>
      <c r="O189" s="58">
        <f t="shared" si="152"/>
        <v>0</v>
      </c>
      <c r="P189" s="18">
        <v>0</v>
      </c>
      <c r="Q189" s="58">
        <f t="shared" si="153"/>
        <v>0</v>
      </c>
      <c r="R189" s="18">
        <v>0</v>
      </c>
      <c r="S189" s="58">
        <f t="shared" si="154"/>
        <v>0</v>
      </c>
      <c r="T189" s="18">
        <v>0</v>
      </c>
      <c r="U189" s="58">
        <f t="shared" si="155"/>
        <v>0</v>
      </c>
      <c r="V189" s="18">
        <v>0</v>
      </c>
      <c r="W189" s="58">
        <f t="shared" si="156"/>
        <v>0</v>
      </c>
      <c r="X189" s="18">
        <v>0</v>
      </c>
      <c r="Y189" s="58">
        <f t="shared" si="157"/>
        <v>0</v>
      </c>
      <c r="Z189" s="18">
        <v>0</v>
      </c>
      <c r="AA189" s="58">
        <f t="shared" si="158"/>
        <v>0</v>
      </c>
      <c r="AB189" s="188">
        <f>0+17956.8</f>
        <v>17956.8</v>
      </c>
      <c r="AC189" s="15">
        <f t="shared" si="159"/>
        <v>17956.8</v>
      </c>
      <c r="AD189" s="15">
        <f t="shared" si="160"/>
        <v>0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</row>
    <row r="190" spans="1:51" ht="15">
      <c r="A190" s="29"/>
      <c r="B190" s="8">
        <v>5691</v>
      </c>
      <c r="C190" s="8" t="s">
        <v>217</v>
      </c>
      <c r="D190" s="18">
        <v>0</v>
      </c>
      <c r="E190" s="18">
        <v>0</v>
      </c>
      <c r="F190" s="18">
        <v>0</v>
      </c>
      <c r="G190" s="58">
        <f t="shared" si="148"/>
        <v>0</v>
      </c>
      <c r="H190" s="18">
        <v>0</v>
      </c>
      <c r="I190" s="58">
        <f t="shared" si="149"/>
        <v>0</v>
      </c>
      <c r="J190" s="18">
        <v>0</v>
      </c>
      <c r="K190" s="58">
        <f t="shared" si="150"/>
        <v>0</v>
      </c>
      <c r="L190" s="18">
        <v>0</v>
      </c>
      <c r="M190" s="58">
        <f t="shared" si="151"/>
        <v>0</v>
      </c>
      <c r="N190" s="18">
        <v>0</v>
      </c>
      <c r="O190" s="58">
        <f t="shared" si="152"/>
        <v>0</v>
      </c>
      <c r="P190" s="18">
        <v>0</v>
      </c>
      <c r="Q190" s="58">
        <f t="shared" si="153"/>
        <v>0</v>
      </c>
      <c r="R190" s="18">
        <v>0</v>
      </c>
      <c r="S190" s="58">
        <f t="shared" si="154"/>
        <v>0</v>
      </c>
      <c r="T190" s="18">
        <v>0</v>
      </c>
      <c r="U190" s="58">
        <f t="shared" si="155"/>
        <v>0</v>
      </c>
      <c r="V190" s="18">
        <v>0</v>
      </c>
      <c r="W190" s="58">
        <f t="shared" si="156"/>
        <v>0</v>
      </c>
      <c r="X190" s="18">
        <v>0</v>
      </c>
      <c r="Y190" s="58">
        <f t="shared" si="157"/>
        <v>0</v>
      </c>
      <c r="Z190" s="18">
        <v>0</v>
      </c>
      <c r="AA190" s="58">
        <f t="shared" si="158"/>
        <v>0</v>
      </c>
      <c r="AB190" s="18">
        <v>0</v>
      </c>
      <c r="AC190" s="15">
        <f t="shared" si="159"/>
        <v>0</v>
      </c>
      <c r="AD190" s="15">
        <f t="shared" si="160"/>
        <v>0</v>
      </c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</row>
    <row r="191" spans="1:51" ht="15">
      <c r="A191" s="2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41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</row>
    <row r="192" spans="1:51" ht="15.75">
      <c r="A192" s="29"/>
      <c r="C192" s="77" t="s">
        <v>157</v>
      </c>
      <c r="D192" s="70">
        <f>SUM(D193:D194)</f>
        <v>0</v>
      </c>
      <c r="E192" s="70">
        <f>SUM(E193:E194)</f>
        <v>0</v>
      </c>
      <c r="F192" s="70">
        <f>SUM(F193:F194)</f>
        <v>0</v>
      </c>
      <c r="G192" s="70">
        <f aca="true" t="shared" si="161" ref="G192:AC192">SUM(G193:G194)</f>
        <v>0</v>
      </c>
      <c r="H192" s="70">
        <f>SUM(H193:H194)</f>
        <v>0</v>
      </c>
      <c r="I192" s="70">
        <f t="shared" si="161"/>
        <v>0</v>
      </c>
      <c r="J192" s="70">
        <f>SUM(J193:J194)</f>
        <v>0</v>
      </c>
      <c r="K192" s="70">
        <f t="shared" si="161"/>
        <v>0</v>
      </c>
      <c r="L192" s="70">
        <f>SUM(L193:L194)</f>
        <v>0</v>
      </c>
      <c r="M192" s="70">
        <f t="shared" si="161"/>
        <v>0</v>
      </c>
      <c r="N192" s="70">
        <f>SUM(N193:N194)</f>
        <v>0</v>
      </c>
      <c r="O192" s="70">
        <f t="shared" si="161"/>
        <v>0</v>
      </c>
      <c r="P192" s="70">
        <f>SUM(P193:P194)</f>
        <v>0</v>
      </c>
      <c r="Q192" s="70">
        <f t="shared" si="161"/>
        <v>0</v>
      </c>
      <c r="R192" s="70">
        <f>SUM(R193:R194)</f>
        <v>0</v>
      </c>
      <c r="S192" s="70">
        <f t="shared" si="161"/>
        <v>0</v>
      </c>
      <c r="T192" s="70">
        <f>SUM(T193:T194)</f>
        <v>0</v>
      </c>
      <c r="U192" s="70">
        <f t="shared" si="161"/>
        <v>0</v>
      </c>
      <c r="V192" s="70">
        <f>SUM(V193:V194)</f>
        <v>0</v>
      </c>
      <c r="W192" s="70">
        <f t="shared" si="161"/>
        <v>0</v>
      </c>
      <c r="X192" s="70">
        <f>SUM(X193:X194)</f>
        <v>0</v>
      </c>
      <c r="Y192" s="70">
        <f t="shared" si="161"/>
        <v>0</v>
      </c>
      <c r="Z192" s="70">
        <f>SUM(Z193:Z194)</f>
        <v>0</v>
      </c>
      <c r="AA192" s="70">
        <f t="shared" si="161"/>
        <v>0</v>
      </c>
      <c r="AB192" s="70">
        <f>SUM(AB193:AB194)</f>
        <v>0</v>
      </c>
      <c r="AC192" s="70">
        <f t="shared" si="161"/>
        <v>0</v>
      </c>
      <c r="AD192" s="70">
        <f>SUM(AD193:AD194)</f>
        <v>0</v>
      </c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</row>
    <row r="193" spans="1:51" ht="15">
      <c r="A193" s="29"/>
      <c r="B193" s="8">
        <v>5800</v>
      </c>
      <c r="C193" s="8" t="s">
        <v>158</v>
      </c>
      <c r="D193" s="18">
        <v>0</v>
      </c>
      <c r="E193" s="18">
        <v>0</v>
      </c>
      <c r="F193" s="18">
        <v>0</v>
      </c>
      <c r="G193" s="58">
        <f>+F193</f>
        <v>0</v>
      </c>
      <c r="H193" s="18">
        <v>0</v>
      </c>
      <c r="I193" s="58">
        <f>+G193+H193</f>
        <v>0</v>
      </c>
      <c r="J193" s="18">
        <v>0</v>
      </c>
      <c r="K193" s="58">
        <f>+I193+J193</f>
        <v>0</v>
      </c>
      <c r="L193" s="18">
        <v>0</v>
      </c>
      <c r="M193" s="58">
        <f>+K193+L193</f>
        <v>0</v>
      </c>
      <c r="N193" s="18">
        <v>0</v>
      </c>
      <c r="O193" s="58">
        <f>+M193+N193</f>
        <v>0</v>
      </c>
      <c r="P193" s="18">
        <v>0</v>
      </c>
      <c r="Q193" s="58">
        <f>+O193+P193</f>
        <v>0</v>
      </c>
      <c r="R193" s="18">
        <v>0</v>
      </c>
      <c r="S193" s="58">
        <f>+Q193+R193</f>
        <v>0</v>
      </c>
      <c r="T193" s="18">
        <v>0</v>
      </c>
      <c r="U193" s="58">
        <f>+S193+T193</f>
        <v>0</v>
      </c>
      <c r="V193" s="18">
        <v>0</v>
      </c>
      <c r="W193" s="58">
        <f>+U193+V193</f>
        <v>0</v>
      </c>
      <c r="X193" s="18">
        <v>0</v>
      </c>
      <c r="Y193" s="58">
        <f>+W193+X193</f>
        <v>0</v>
      </c>
      <c r="Z193" s="18">
        <v>0</v>
      </c>
      <c r="AA193" s="58">
        <f>+Y193+Z193</f>
        <v>0</v>
      </c>
      <c r="AB193" s="18">
        <v>0</v>
      </c>
      <c r="AC193" s="15">
        <f>+AA193+AB193</f>
        <v>0</v>
      </c>
      <c r="AD193" s="15">
        <f>+E193-AC193</f>
        <v>0</v>
      </c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</row>
    <row r="194" spans="1:51" ht="15">
      <c r="A194" s="29"/>
      <c r="B194" s="8">
        <v>5831</v>
      </c>
      <c r="C194" s="14" t="s">
        <v>159</v>
      </c>
      <c r="D194" s="18">
        <v>0</v>
      </c>
      <c r="E194" s="18">
        <v>0</v>
      </c>
      <c r="F194" s="18">
        <v>0</v>
      </c>
      <c r="G194" s="58">
        <f>+F194</f>
        <v>0</v>
      </c>
      <c r="H194" s="18">
        <v>0</v>
      </c>
      <c r="I194" s="58">
        <f>+G194+H194</f>
        <v>0</v>
      </c>
      <c r="J194" s="18">
        <v>0</v>
      </c>
      <c r="K194" s="58">
        <f>+I194+J194</f>
        <v>0</v>
      </c>
      <c r="L194" s="18">
        <v>0</v>
      </c>
      <c r="M194" s="58">
        <f>+K194+L194</f>
        <v>0</v>
      </c>
      <c r="N194" s="18">
        <v>0</v>
      </c>
      <c r="O194" s="58">
        <f>+M194+N194</f>
        <v>0</v>
      </c>
      <c r="P194" s="18">
        <v>0</v>
      </c>
      <c r="Q194" s="58">
        <f>+O194+P194</f>
        <v>0</v>
      </c>
      <c r="R194" s="18">
        <v>0</v>
      </c>
      <c r="S194" s="58">
        <f>+Q194+R194</f>
        <v>0</v>
      </c>
      <c r="T194" s="18">
        <v>0</v>
      </c>
      <c r="U194" s="58">
        <f>+S194+T194</f>
        <v>0</v>
      </c>
      <c r="V194" s="18">
        <v>0</v>
      </c>
      <c r="W194" s="58">
        <f>+U194+V194</f>
        <v>0</v>
      </c>
      <c r="X194" s="18">
        <v>0</v>
      </c>
      <c r="Y194" s="58">
        <f>+W194+X194</f>
        <v>0</v>
      </c>
      <c r="Z194" s="18">
        <v>0</v>
      </c>
      <c r="AA194" s="58">
        <f>+Y194+Z194</f>
        <v>0</v>
      </c>
      <c r="AB194" s="18">
        <v>0</v>
      </c>
      <c r="AC194" s="15">
        <f>+AA194+AB194</f>
        <v>0</v>
      </c>
      <c r="AD194" s="15">
        <f>+E194-AC194</f>
        <v>0</v>
      </c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</row>
    <row r="195" spans="1:51" ht="15">
      <c r="A195" s="29"/>
      <c r="B195" s="57"/>
      <c r="C195" s="14"/>
      <c r="D195" s="17"/>
      <c r="E195" s="17"/>
      <c r="F195" s="17"/>
      <c r="G195" s="59"/>
      <c r="H195" s="17"/>
      <c r="I195" s="15"/>
      <c r="J195" s="17"/>
      <c r="K195" s="15"/>
      <c r="L195" s="17"/>
      <c r="M195" s="15"/>
      <c r="N195" s="17"/>
      <c r="O195" s="15"/>
      <c r="P195" s="17"/>
      <c r="Q195" s="15"/>
      <c r="R195" s="17"/>
      <c r="S195" s="15"/>
      <c r="T195" s="17"/>
      <c r="U195" s="15"/>
      <c r="V195" s="17"/>
      <c r="W195" s="15"/>
      <c r="X195" s="17"/>
      <c r="Y195" s="15"/>
      <c r="Z195" s="17"/>
      <c r="AA195" s="15"/>
      <c r="AB195" s="17"/>
      <c r="AC195" s="15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</row>
    <row r="196" spans="1:51" ht="15.75">
      <c r="A196" s="29"/>
      <c r="B196" s="57"/>
      <c r="C196" s="77" t="s">
        <v>160</v>
      </c>
      <c r="D196" s="70">
        <f>SUM(D197:D202)</f>
        <v>1493981.16</v>
      </c>
      <c r="E196" s="70">
        <f>SUM(E197:E202)</f>
        <v>1096568.45</v>
      </c>
      <c r="F196" s="70">
        <f>SUM(F197:F202)</f>
        <v>0</v>
      </c>
      <c r="G196" s="70">
        <f aca="true" t="shared" si="162" ref="G196:AC196">SUM(G197:G202)</f>
        <v>0</v>
      </c>
      <c r="H196" s="70">
        <f>SUM(H197:H202)</f>
        <v>0</v>
      </c>
      <c r="I196" s="70">
        <f t="shared" si="162"/>
        <v>0</v>
      </c>
      <c r="J196" s="70">
        <f>SUM(J197:J202)</f>
        <v>0</v>
      </c>
      <c r="K196" s="70">
        <f t="shared" si="162"/>
        <v>0</v>
      </c>
      <c r="L196" s="70">
        <f>SUM(L197:L202)</f>
        <v>0</v>
      </c>
      <c r="M196" s="70">
        <f t="shared" si="162"/>
        <v>0</v>
      </c>
      <c r="N196" s="70">
        <f>SUM(N197:N202)</f>
        <v>1493981.16</v>
      </c>
      <c r="O196" s="70">
        <f t="shared" si="162"/>
        <v>1493981.16</v>
      </c>
      <c r="P196" s="70">
        <f>SUM(P197:P202)</f>
        <v>0</v>
      </c>
      <c r="Q196" s="70">
        <f t="shared" si="162"/>
        <v>1493981.16</v>
      </c>
      <c r="R196" s="70">
        <f>SUM(R197:R202)</f>
        <v>0</v>
      </c>
      <c r="S196" s="70">
        <f t="shared" si="162"/>
        <v>1493981.16</v>
      </c>
      <c r="T196" s="70">
        <f>SUM(T197:T202)</f>
        <v>0</v>
      </c>
      <c r="U196" s="70">
        <f t="shared" si="162"/>
        <v>1493981.16</v>
      </c>
      <c r="V196" s="70">
        <f>SUM(V197:V202)</f>
        <v>0</v>
      </c>
      <c r="W196" s="70">
        <f t="shared" si="162"/>
        <v>1493981.16</v>
      </c>
      <c r="X196" s="70">
        <f>SUM(X197:X202)</f>
        <v>0</v>
      </c>
      <c r="Y196" s="70">
        <f t="shared" si="162"/>
        <v>1493981.16</v>
      </c>
      <c r="Z196" s="70">
        <f>SUM(Z197:Z202)</f>
        <v>-231891.69</v>
      </c>
      <c r="AA196" s="70">
        <f t="shared" si="162"/>
        <v>1262089.47</v>
      </c>
      <c r="AB196" s="70">
        <f>SUM(AB197:AB202)</f>
        <v>-165521.02</v>
      </c>
      <c r="AC196" s="70">
        <f t="shared" si="162"/>
        <v>1096568.45</v>
      </c>
      <c r="AD196" s="70">
        <f>SUM(AD197:AD202)</f>
        <v>0</v>
      </c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</row>
    <row r="197" spans="1:51" ht="15.75">
      <c r="A197" s="29"/>
      <c r="B197" s="8">
        <v>5911</v>
      </c>
      <c r="C197" s="8" t="s">
        <v>161</v>
      </c>
      <c r="D197" s="18">
        <v>0</v>
      </c>
      <c r="E197" s="188">
        <f>0+205000-165521.02</f>
        <v>39478.98000000001</v>
      </c>
      <c r="F197" s="18">
        <v>0</v>
      </c>
      <c r="G197" s="58">
        <f aca="true" t="shared" si="163" ref="G197:G202">+F197</f>
        <v>0</v>
      </c>
      <c r="H197" s="18">
        <v>0</v>
      </c>
      <c r="I197" s="58">
        <f aca="true" t="shared" si="164" ref="I197:I202">+G197+H197</f>
        <v>0</v>
      </c>
      <c r="J197" s="18">
        <v>0</v>
      </c>
      <c r="K197" s="58">
        <f aca="true" t="shared" si="165" ref="K197:K202">+I197+J197</f>
        <v>0</v>
      </c>
      <c r="L197" s="18">
        <v>0</v>
      </c>
      <c r="M197" s="58">
        <f aca="true" t="shared" si="166" ref="M197:M202">+K197+L197</f>
        <v>0</v>
      </c>
      <c r="N197" s="18">
        <v>0</v>
      </c>
      <c r="O197" s="58">
        <f aca="true" t="shared" si="167" ref="O197:O202">+M197+N197</f>
        <v>0</v>
      </c>
      <c r="P197" s="18">
        <v>0</v>
      </c>
      <c r="Q197" s="58">
        <f aca="true" t="shared" si="168" ref="Q197:Q202">+O197+P197</f>
        <v>0</v>
      </c>
      <c r="R197" s="18">
        <v>0</v>
      </c>
      <c r="S197" s="58">
        <f aca="true" t="shared" si="169" ref="S197:S202">+Q197+R197</f>
        <v>0</v>
      </c>
      <c r="T197" s="18">
        <v>0</v>
      </c>
      <c r="U197" s="58">
        <f aca="true" t="shared" si="170" ref="U197:U202">+S197+T197</f>
        <v>0</v>
      </c>
      <c r="V197" s="18">
        <v>0</v>
      </c>
      <c r="W197" s="58">
        <f aca="true" t="shared" si="171" ref="W197:W202">+U197+V197</f>
        <v>0</v>
      </c>
      <c r="X197" s="18">
        <v>0</v>
      </c>
      <c r="Y197" s="58">
        <f aca="true" t="shared" si="172" ref="Y197:Y202">+W197+X197</f>
        <v>0</v>
      </c>
      <c r="Z197" s="188">
        <f>0+205000</f>
        <v>205000</v>
      </c>
      <c r="AA197" s="58">
        <f aca="true" t="shared" si="173" ref="AA197:AA202">+Y197+Z197</f>
        <v>205000</v>
      </c>
      <c r="AB197" s="188">
        <f>0-165521.02</f>
        <v>-165521.02</v>
      </c>
      <c r="AC197" s="15">
        <f aca="true" t="shared" si="174" ref="AC197:AC202">+AA197+AB197</f>
        <v>39478.98000000001</v>
      </c>
      <c r="AD197" s="15">
        <f aca="true" t="shared" si="175" ref="AD197:AD202">+E197-AC197</f>
        <v>0</v>
      </c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</row>
    <row r="198" spans="1:51" ht="15">
      <c r="A198" s="29"/>
      <c r="B198" s="8">
        <v>5921</v>
      </c>
      <c r="C198" s="8" t="s">
        <v>162</v>
      </c>
      <c r="D198" s="18">
        <v>0</v>
      </c>
      <c r="E198" s="18">
        <v>0</v>
      </c>
      <c r="F198" s="18">
        <v>0</v>
      </c>
      <c r="G198" s="58">
        <f t="shared" si="163"/>
        <v>0</v>
      </c>
      <c r="H198" s="18">
        <v>0</v>
      </c>
      <c r="I198" s="58">
        <f t="shared" si="164"/>
        <v>0</v>
      </c>
      <c r="J198" s="18">
        <v>0</v>
      </c>
      <c r="K198" s="58">
        <f t="shared" si="165"/>
        <v>0</v>
      </c>
      <c r="L198" s="18">
        <v>0</v>
      </c>
      <c r="M198" s="58">
        <f t="shared" si="166"/>
        <v>0</v>
      </c>
      <c r="N198" s="18">
        <v>0</v>
      </c>
      <c r="O198" s="58">
        <f t="shared" si="167"/>
        <v>0</v>
      </c>
      <c r="P198" s="18">
        <v>0</v>
      </c>
      <c r="Q198" s="58">
        <f t="shared" si="168"/>
        <v>0</v>
      </c>
      <c r="R198" s="18">
        <v>0</v>
      </c>
      <c r="S198" s="58">
        <f t="shared" si="169"/>
        <v>0</v>
      </c>
      <c r="T198" s="18">
        <v>0</v>
      </c>
      <c r="U198" s="58">
        <f t="shared" si="170"/>
        <v>0</v>
      </c>
      <c r="V198" s="18">
        <v>0</v>
      </c>
      <c r="W198" s="58">
        <f t="shared" si="171"/>
        <v>0</v>
      </c>
      <c r="X198" s="18">
        <v>0</v>
      </c>
      <c r="Y198" s="58">
        <f t="shared" si="172"/>
        <v>0</v>
      </c>
      <c r="Z198" s="18">
        <v>0</v>
      </c>
      <c r="AA198" s="58">
        <f t="shared" si="173"/>
        <v>0</v>
      </c>
      <c r="AB198" s="18">
        <v>0</v>
      </c>
      <c r="AC198" s="15">
        <f t="shared" si="174"/>
        <v>0</v>
      </c>
      <c r="AD198" s="15">
        <f t="shared" si="175"/>
        <v>0</v>
      </c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</row>
    <row r="199" spans="1:51" ht="15">
      <c r="A199" s="29"/>
      <c r="B199" s="8">
        <v>5931</v>
      </c>
      <c r="C199" s="8" t="s">
        <v>163</v>
      </c>
      <c r="D199" s="18">
        <v>0</v>
      </c>
      <c r="E199" s="18">
        <v>0</v>
      </c>
      <c r="F199" s="18">
        <v>0</v>
      </c>
      <c r="G199" s="58">
        <f t="shared" si="163"/>
        <v>0</v>
      </c>
      <c r="H199" s="18">
        <v>0</v>
      </c>
      <c r="I199" s="58">
        <f t="shared" si="164"/>
        <v>0</v>
      </c>
      <c r="J199" s="18">
        <v>0</v>
      </c>
      <c r="K199" s="58">
        <f t="shared" si="165"/>
        <v>0</v>
      </c>
      <c r="L199" s="18">
        <v>0</v>
      </c>
      <c r="M199" s="58">
        <f t="shared" si="166"/>
        <v>0</v>
      </c>
      <c r="N199" s="18">
        <v>0</v>
      </c>
      <c r="O199" s="58">
        <f t="shared" si="167"/>
        <v>0</v>
      </c>
      <c r="P199" s="18">
        <v>0</v>
      </c>
      <c r="Q199" s="58">
        <f t="shared" si="168"/>
        <v>0</v>
      </c>
      <c r="R199" s="18">
        <v>0</v>
      </c>
      <c r="S199" s="58">
        <f t="shared" si="169"/>
        <v>0</v>
      </c>
      <c r="T199" s="18">
        <v>0</v>
      </c>
      <c r="U199" s="58">
        <f t="shared" si="170"/>
        <v>0</v>
      </c>
      <c r="V199" s="18">
        <v>0</v>
      </c>
      <c r="W199" s="58">
        <f t="shared" si="171"/>
        <v>0</v>
      </c>
      <c r="X199" s="18">
        <v>0</v>
      </c>
      <c r="Y199" s="58">
        <f t="shared" si="172"/>
        <v>0</v>
      </c>
      <c r="Z199" s="18">
        <v>0</v>
      </c>
      <c r="AA199" s="58">
        <f t="shared" si="173"/>
        <v>0</v>
      </c>
      <c r="AB199" s="18">
        <v>0</v>
      </c>
      <c r="AC199" s="15">
        <f t="shared" si="174"/>
        <v>0</v>
      </c>
      <c r="AD199" s="15">
        <f t="shared" si="175"/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</row>
    <row r="200" spans="2:30" ht="15">
      <c r="B200" s="8">
        <v>5941</v>
      </c>
      <c r="C200" s="8" t="s">
        <v>164</v>
      </c>
      <c r="D200" s="18">
        <v>0</v>
      </c>
      <c r="E200" s="18">
        <v>0</v>
      </c>
      <c r="F200" s="18">
        <v>0</v>
      </c>
      <c r="G200" s="58">
        <f t="shared" si="163"/>
        <v>0</v>
      </c>
      <c r="H200" s="18">
        <v>0</v>
      </c>
      <c r="I200" s="58">
        <f t="shared" si="164"/>
        <v>0</v>
      </c>
      <c r="J200" s="18">
        <v>0</v>
      </c>
      <c r="K200" s="58">
        <f t="shared" si="165"/>
        <v>0</v>
      </c>
      <c r="L200" s="18">
        <v>0</v>
      </c>
      <c r="M200" s="58">
        <f t="shared" si="166"/>
        <v>0</v>
      </c>
      <c r="N200" s="18">
        <v>0</v>
      </c>
      <c r="O200" s="58">
        <f t="shared" si="167"/>
        <v>0</v>
      </c>
      <c r="P200" s="18">
        <v>0</v>
      </c>
      <c r="Q200" s="58">
        <f t="shared" si="168"/>
        <v>0</v>
      </c>
      <c r="R200" s="18">
        <v>0</v>
      </c>
      <c r="S200" s="58">
        <f t="shared" si="169"/>
        <v>0</v>
      </c>
      <c r="T200" s="18">
        <v>0</v>
      </c>
      <c r="U200" s="58">
        <f t="shared" si="170"/>
        <v>0</v>
      </c>
      <c r="V200" s="18">
        <v>0</v>
      </c>
      <c r="W200" s="58">
        <f t="shared" si="171"/>
        <v>0</v>
      </c>
      <c r="X200" s="18">
        <v>0</v>
      </c>
      <c r="Y200" s="58">
        <f t="shared" si="172"/>
        <v>0</v>
      </c>
      <c r="Z200" s="18">
        <v>0</v>
      </c>
      <c r="AA200" s="58">
        <f t="shared" si="173"/>
        <v>0</v>
      </c>
      <c r="AB200" s="18">
        <v>0</v>
      </c>
      <c r="AC200" s="15">
        <f t="shared" si="174"/>
        <v>0</v>
      </c>
      <c r="AD200" s="15">
        <f t="shared" si="175"/>
        <v>0</v>
      </c>
    </row>
    <row r="201" spans="2:58" ht="15.75">
      <c r="B201" s="8">
        <v>5971</v>
      </c>
      <c r="C201" s="8" t="s">
        <v>186</v>
      </c>
      <c r="D201" s="18">
        <v>1493981.16</v>
      </c>
      <c r="E201" s="188">
        <f>1493981.16-436891.69</f>
        <v>1057089.47</v>
      </c>
      <c r="F201" s="18">
        <v>0</v>
      </c>
      <c r="G201" s="58">
        <f>+F201</f>
        <v>0</v>
      </c>
      <c r="H201" s="18">
        <v>0</v>
      </c>
      <c r="I201" s="58">
        <f>+G201+H201</f>
        <v>0</v>
      </c>
      <c r="J201" s="18">
        <v>0</v>
      </c>
      <c r="K201" s="58">
        <f>+I201+J201</f>
        <v>0</v>
      </c>
      <c r="L201" s="18">
        <v>0</v>
      </c>
      <c r="M201" s="58">
        <f>+K201+L201</f>
        <v>0</v>
      </c>
      <c r="N201" s="18">
        <v>1493981.16</v>
      </c>
      <c r="O201" s="58">
        <f>+M201+N201</f>
        <v>1493981.16</v>
      </c>
      <c r="P201" s="18">
        <v>0</v>
      </c>
      <c r="Q201" s="58">
        <f>+O201+P201</f>
        <v>1493981.16</v>
      </c>
      <c r="R201" s="18">
        <v>0</v>
      </c>
      <c r="S201" s="58">
        <f>+Q201+R201</f>
        <v>1493981.16</v>
      </c>
      <c r="T201" s="18">
        <v>0</v>
      </c>
      <c r="U201" s="58">
        <f>+S201+T201</f>
        <v>1493981.16</v>
      </c>
      <c r="V201" s="18">
        <v>0</v>
      </c>
      <c r="W201" s="58">
        <f>+U201+V201</f>
        <v>1493981.16</v>
      </c>
      <c r="X201" s="18">
        <v>0</v>
      </c>
      <c r="Y201" s="58">
        <f>+W201+X201</f>
        <v>1493981.16</v>
      </c>
      <c r="Z201" s="188">
        <f>0-436891.69</f>
        <v>-436891.69</v>
      </c>
      <c r="AA201" s="58">
        <f>+Y201+Z201</f>
        <v>1057089.47</v>
      </c>
      <c r="AB201" s="18">
        <v>0</v>
      </c>
      <c r="AC201" s="15">
        <f>+AA201+AB201</f>
        <v>1057089.47</v>
      </c>
      <c r="AD201" s="15">
        <f t="shared" si="175"/>
        <v>0</v>
      </c>
      <c r="BF201" s="16"/>
    </row>
    <row r="202" spans="2:30" ht="15">
      <c r="B202" s="8">
        <v>5991</v>
      </c>
      <c r="C202" s="8" t="s">
        <v>165</v>
      </c>
      <c r="D202" s="18">
        <v>0</v>
      </c>
      <c r="E202" s="18">
        <v>0</v>
      </c>
      <c r="F202" s="18">
        <v>0</v>
      </c>
      <c r="G202" s="58">
        <f t="shared" si="163"/>
        <v>0</v>
      </c>
      <c r="H202" s="18">
        <v>0</v>
      </c>
      <c r="I202" s="58">
        <f t="shared" si="164"/>
        <v>0</v>
      </c>
      <c r="J202" s="18">
        <v>0</v>
      </c>
      <c r="K202" s="58">
        <f t="shared" si="165"/>
        <v>0</v>
      </c>
      <c r="L202" s="18">
        <v>0</v>
      </c>
      <c r="M202" s="58">
        <f t="shared" si="166"/>
        <v>0</v>
      </c>
      <c r="N202" s="18">
        <v>0</v>
      </c>
      <c r="O202" s="58">
        <f t="shared" si="167"/>
        <v>0</v>
      </c>
      <c r="P202" s="18">
        <v>0</v>
      </c>
      <c r="Q202" s="58">
        <f t="shared" si="168"/>
        <v>0</v>
      </c>
      <c r="R202" s="18">
        <v>0</v>
      </c>
      <c r="S202" s="58">
        <f t="shared" si="169"/>
        <v>0</v>
      </c>
      <c r="T202" s="18">
        <v>0</v>
      </c>
      <c r="U202" s="58">
        <f t="shared" si="170"/>
        <v>0</v>
      </c>
      <c r="V202" s="18">
        <v>0</v>
      </c>
      <c r="W202" s="58">
        <f t="shared" si="171"/>
        <v>0</v>
      </c>
      <c r="X202" s="18">
        <v>0</v>
      </c>
      <c r="Y202" s="58">
        <f t="shared" si="172"/>
        <v>0</v>
      </c>
      <c r="Z202" s="18">
        <v>0</v>
      </c>
      <c r="AA202" s="58">
        <f t="shared" si="173"/>
        <v>0</v>
      </c>
      <c r="AB202" s="18">
        <v>0</v>
      </c>
      <c r="AC202" s="15">
        <f t="shared" si="174"/>
        <v>0</v>
      </c>
      <c r="AD202" s="15">
        <f t="shared" si="175"/>
        <v>0</v>
      </c>
    </row>
  </sheetData>
  <sheetProtection/>
  <mergeCells count="3">
    <mergeCell ref="B3:AD3"/>
    <mergeCell ref="B5:AD5"/>
    <mergeCell ref="B1:AD1"/>
  </mergeCells>
  <printOptions/>
  <pageMargins left="0.5118110236220472" right="0" top="0" bottom="0" header="0" footer="0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02"/>
  <sheetViews>
    <sheetView showGridLines="0" zoomScale="70" zoomScaleNormal="70" zoomScalePageLayoutView="0" workbookViewId="0" topLeftCell="A7">
      <pane xSplit="9" ySplit="9" topLeftCell="AB16" activePane="bottomRight" state="frozen"/>
      <selection pane="topLeft" activeCell="A7" sqref="A7"/>
      <selection pane="topRight" activeCell="J7" sqref="J7"/>
      <selection pane="bottomLeft" activeCell="A16" sqref="A16"/>
      <selection pane="bottomRight" activeCell="AB21" sqref="AB21"/>
    </sheetView>
  </sheetViews>
  <sheetFormatPr defaultColWidth="11.421875" defaultRowHeight="12.75"/>
  <cols>
    <col min="1" max="1" width="1.8515625" style="8" bestFit="1" customWidth="1"/>
    <col min="2" max="2" width="6.57421875" style="8" bestFit="1" customWidth="1"/>
    <col min="3" max="3" width="67.00390625" style="8" bestFit="1" customWidth="1"/>
    <col min="4" max="4" width="17.8515625" style="8" bestFit="1" customWidth="1"/>
    <col min="5" max="5" width="18.00390625" style="8" customWidth="1"/>
    <col min="6" max="27" width="19.28125" style="8" hidden="1" customWidth="1"/>
    <col min="28" max="28" width="19.28125" style="8" customWidth="1"/>
    <col min="29" max="29" width="17.8515625" style="8" customWidth="1"/>
    <col min="30" max="30" width="15.00390625" style="8" bestFit="1" customWidth="1"/>
    <col min="31" max="31" width="13.8515625" style="8" bestFit="1" customWidth="1"/>
    <col min="32" max="16384" width="11.421875" style="8" customWidth="1"/>
  </cols>
  <sheetData>
    <row r="1" spans="1:29" ht="15.75">
      <c r="A1" s="29"/>
      <c r="B1" s="241" t="s">
        <v>67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3"/>
    </row>
    <row r="2" spans="1:29" ht="13.5" customHeight="1">
      <c r="A2" s="2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7.25" customHeight="1">
      <c r="A3" s="31"/>
      <c r="B3" s="238" t="s">
        <v>68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</row>
    <row r="4" spans="1:29" ht="13.5" customHeight="1">
      <c r="A4" s="31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16.5" customHeight="1">
      <c r="A5" s="31"/>
      <c r="B5" s="238" t="s">
        <v>236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40"/>
    </row>
    <row r="6" spans="1:29" ht="13.5" customHeight="1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8" ht="15.75">
      <c r="A7" s="31"/>
      <c r="B7" s="89"/>
      <c r="C7" s="90"/>
      <c r="E7" s="24"/>
      <c r="F7" s="16"/>
      <c r="G7" s="12" t="s">
        <v>49</v>
      </c>
      <c r="H7" s="16"/>
      <c r="I7" s="12" t="s">
        <v>49</v>
      </c>
      <c r="J7" s="16"/>
      <c r="K7" s="12" t="s">
        <v>49</v>
      </c>
      <c r="L7" s="16"/>
      <c r="M7" s="12" t="s">
        <v>49</v>
      </c>
      <c r="N7" s="16"/>
      <c r="O7" s="12" t="s">
        <v>49</v>
      </c>
      <c r="P7" s="16"/>
      <c r="Q7" s="12" t="s">
        <v>49</v>
      </c>
      <c r="R7" s="16"/>
      <c r="S7" s="12" t="s">
        <v>49</v>
      </c>
      <c r="T7" s="16"/>
      <c r="U7" s="12" t="s">
        <v>49</v>
      </c>
      <c r="V7" s="16"/>
      <c r="W7" s="12" t="s">
        <v>49</v>
      </c>
      <c r="X7" s="16"/>
      <c r="Y7" s="12" t="s">
        <v>49</v>
      </c>
      <c r="Z7" s="16"/>
      <c r="AA7" s="12" t="s">
        <v>49</v>
      </c>
      <c r="AB7" s="16"/>
    </row>
    <row r="8" spans="1:29" ht="15.75">
      <c r="A8" s="31"/>
      <c r="B8" s="36"/>
      <c r="C8" s="27"/>
      <c r="D8" s="28"/>
      <c r="E8" s="34" t="s">
        <v>48</v>
      </c>
      <c r="F8" s="34" t="s">
        <v>49</v>
      </c>
      <c r="G8" s="12" t="s">
        <v>77</v>
      </c>
      <c r="H8" s="34" t="s">
        <v>49</v>
      </c>
      <c r="I8" s="12" t="s">
        <v>77</v>
      </c>
      <c r="J8" s="34" t="s">
        <v>49</v>
      </c>
      <c r="K8" s="12" t="s">
        <v>77</v>
      </c>
      <c r="L8" s="34" t="s">
        <v>49</v>
      </c>
      <c r="M8" s="12" t="s">
        <v>77</v>
      </c>
      <c r="N8" s="34" t="s">
        <v>49</v>
      </c>
      <c r="O8" s="12" t="s">
        <v>77</v>
      </c>
      <c r="P8" s="34" t="s">
        <v>49</v>
      </c>
      <c r="Q8" s="12" t="s">
        <v>77</v>
      </c>
      <c r="R8" s="34" t="s">
        <v>49</v>
      </c>
      <c r="S8" s="12" t="s">
        <v>77</v>
      </c>
      <c r="T8" s="34" t="s">
        <v>49</v>
      </c>
      <c r="U8" s="12" t="s">
        <v>77</v>
      </c>
      <c r="V8" s="34" t="s">
        <v>49</v>
      </c>
      <c r="W8" s="12" t="s">
        <v>77</v>
      </c>
      <c r="X8" s="34" t="s">
        <v>49</v>
      </c>
      <c r="Y8" s="12" t="s">
        <v>77</v>
      </c>
      <c r="Z8" s="34" t="s">
        <v>49</v>
      </c>
      <c r="AA8" s="12" t="s">
        <v>77</v>
      </c>
      <c r="AB8" s="34" t="s">
        <v>49</v>
      </c>
      <c r="AC8" s="12" t="s">
        <v>77</v>
      </c>
    </row>
    <row r="9" spans="1:29" ht="14.25" customHeight="1">
      <c r="A9" s="29"/>
      <c r="B9" s="34" t="s">
        <v>50</v>
      </c>
      <c r="C9" s="12" t="s">
        <v>73</v>
      </c>
      <c r="D9" s="34" t="s">
        <v>4</v>
      </c>
      <c r="E9" s="34" t="s">
        <v>80</v>
      </c>
      <c r="F9" s="12" t="s">
        <v>77</v>
      </c>
      <c r="G9" s="38" t="s">
        <v>29</v>
      </c>
      <c r="H9" s="12" t="s">
        <v>77</v>
      </c>
      <c r="I9" s="38" t="s">
        <v>29</v>
      </c>
      <c r="J9" s="12" t="s">
        <v>77</v>
      </c>
      <c r="K9" s="38" t="s">
        <v>29</v>
      </c>
      <c r="L9" s="12" t="s">
        <v>77</v>
      </c>
      <c r="M9" s="38" t="s">
        <v>29</v>
      </c>
      <c r="N9" s="12" t="s">
        <v>77</v>
      </c>
      <c r="O9" s="38" t="s">
        <v>29</v>
      </c>
      <c r="P9" s="12" t="s">
        <v>77</v>
      </c>
      <c r="Q9" s="38" t="s">
        <v>29</v>
      </c>
      <c r="R9" s="12" t="s">
        <v>77</v>
      </c>
      <c r="S9" s="38" t="s">
        <v>29</v>
      </c>
      <c r="T9" s="12" t="s">
        <v>77</v>
      </c>
      <c r="U9" s="38" t="s">
        <v>29</v>
      </c>
      <c r="V9" s="12" t="s">
        <v>77</v>
      </c>
      <c r="W9" s="38" t="s">
        <v>29</v>
      </c>
      <c r="X9" s="12" t="s">
        <v>77</v>
      </c>
      <c r="Y9" s="38" t="s">
        <v>29</v>
      </c>
      <c r="Z9" s="12" t="s">
        <v>77</v>
      </c>
      <c r="AA9" s="38" t="s">
        <v>29</v>
      </c>
      <c r="AB9" s="12" t="s">
        <v>77</v>
      </c>
      <c r="AC9" s="38" t="s">
        <v>29</v>
      </c>
    </row>
    <row r="10" spans="1:29" ht="15.75">
      <c r="A10" s="44"/>
      <c r="B10" s="45"/>
      <c r="C10" s="45"/>
      <c r="D10" s="46" t="s">
        <v>69</v>
      </c>
      <c r="E10" s="47" t="s">
        <v>65</v>
      </c>
      <c r="F10" s="46" t="s">
        <v>74</v>
      </c>
      <c r="G10" s="46" t="s">
        <v>55</v>
      </c>
      <c r="H10" s="46" t="s">
        <v>56</v>
      </c>
      <c r="I10" s="46" t="s">
        <v>56</v>
      </c>
      <c r="J10" s="46" t="s">
        <v>54</v>
      </c>
      <c r="K10" s="46" t="s">
        <v>54</v>
      </c>
      <c r="L10" s="46" t="s">
        <v>57</v>
      </c>
      <c r="M10" s="46" t="s">
        <v>57</v>
      </c>
      <c r="N10" s="46" t="s">
        <v>58</v>
      </c>
      <c r="O10" s="46" t="s">
        <v>58</v>
      </c>
      <c r="P10" s="46" t="s">
        <v>59</v>
      </c>
      <c r="Q10" s="46" t="s">
        <v>59</v>
      </c>
      <c r="R10" s="46" t="s">
        <v>60</v>
      </c>
      <c r="S10" s="46" t="s">
        <v>60</v>
      </c>
      <c r="T10" s="46" t="s">
        <v>61</v>
      </c>
      <c r="U10" s="46" t="s">
        <v>61</v>
      </c>
      <c r="V10" s="46" t="s">
        <v>62</v>
      </c>
      <c r="W10" s="46" t="s">
        <v>62</v>
      </c>
      <c r="X10" s="46" t="s">
        <v>63</v>
      </c>
      <c r="Y10" s="46" t="s">
        <v>63</v>
      </c>
      <c r="Z10" s="46" t="s">
        <v>64</v>
      </c>
      <c r="AA10" s="46" t="s">
        <v>64</v>
      </c>
      <c r="AB10" s="46" t="s">
        <v>65</v>
      </c>
      <c r="AC10" s="46" t="s">
        <v>65</v>
      </c>
    </row>
    <row r="11" spans="1:30" ht="15.75">
      <c r="A11" s="29"/>
      <c r="B11" s="48"/>
      <c r="C11" s="49" t="s">
        <v>20</v>
      </c>
      <c r="D11" s="50">
        <f>+D23+D53+D103</f>
        <v>231095501.48000002</v>
      </c>
      <c r="E11" s="50">
        <f aca="true" t="shared" si="0" ref="E11:AC11">+E23+E53+E103</f>
        <v>317868341.34000003</v>
      </c>
      <c r="F11" s="50">
        <f t="shared" si="0"/>
        <v>14430733.84</v>
      </c>
      <c r="G11" s="50">
        <f t="shared" si="0"/>
        <v>14430733.84</v>
      </c>
      <c r="H11" s="50">
        <f t="shared" si="0"/>
        <v>14575343.600000001</v>
      </c>
      <c r="I11" s="50">
        <f t="shared" si="0"/>
        <v>29006077.439999998</v>
      </c>
      <c r="J11" s="50">
        <f t="shared" si="0"/>
        <v>14287779.579999998</v>
      </c>
      <c r="K11" s="50">
        <f t="shared" si="0"/>
        <v>43293857.019999996</v>
      </c>
      <c r="L11" s="50">
        <f t="shared" si="0"/>
        <v>17221015.040000003</v>
      </c>
      <c r="M11" s="50">
        <f t="shared" si="0"/>
        <v>60514872.059999995</v>
      </c>
      <c r="N11" s="50">
        <f t="shared" si="0"/>
        <v>43580950.45</v>
      </c>
      <c r="O11" s="50">
        <f t="shared" si="0"/>
        <v>104095822.50999999</v>
      </c>
      <c r="P11" s="50">
        <f t="shared" si="0"/>
        <v>26292192.04</v>
      </c>
      <c r="Q11" s="50">
        <f t="shared" si="0"/>
        <v>130388014.55</v>
      </c>
      <c r="R11" s="50">
        <f t="shared" si="0"/>
        <v>19094627.47</v>
      </c>
      <c r="S11" s="50">
        <f t="shared" si="0"/>
        <v>149482642.02</v>
      </c>
      <c r="T11" s="50">
        <f t="shared" si="0"/>
        <v>17828364.69</v>
      </c>
      <c r="U11" s="50">
        <f t="shared" si="0"/>
        <v>167311006.70999998</v>
      </c>
      <c r="V11" s="50">
        <f t="shared" si="0"/>
        <v>27587351.310000002</v>
      </c>
      <c r="W11" s="50">
        <f t="shared" si="0"/>
        <v>194898358.01999998</v>
      </c>
      <c r="X11" s="50">
        <f t="shared" si="0"/>
        <v>27272643.410000004</v>
      </c>
      <c r="Y11" s="50">
        <f t="shared" si="0"/>
        <v>222171001.43</v>
      </c>
      <c r="Z11" s="50">
        <f t="shared" si="0"/>
        <v>31252364.200000003</v>
      </c>
      <c r="AA11" s="50">
        <f t="shared" si="0"/>
        <v>253423365.63</v>
      </c>
      <c r="AB11" s="50">
        <f t="shared" si="0"/>
        <v>64444975.720000006</v>
      </c>
      <c r="AC11" s="50">
        <f t="shared" si="0"/>
        <v>317868341.34999996</v>
      </c>
      <c r="AD11" s="15"/>
    </row>
    <row r="12" spans="1:30" ht="15.75">
      <c r="A12" s="29"/>
      <c r="B12" s="14"/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5"/>
    </row>
    <row r="13" spans="1:31" ht="15.75">
      <c r="A13" s="29"/>
      <c r="B13" s="52"/>
      <c r="C13" s="52" t="s">
        <v>21</v>
      </c>
      <c r="D13" s="53">
        <f aca="true" t="shared" si="1" ref="D13:AC13">+D176</f>
        <v>3436474.5199999996</v>
      </c>
      <c r="E13" s="53">
        <f t="shared" si="1"/>
        <v>2165018.8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4640</v>
      </c>
      <c r="M13" s="53">
        <f t="shared" si="1"/>
        <v>4640</v>
      </c>
      <c r="N13" s="53">
        <f t="shared" si="1"/>
        <v>57792</v>
      </c>
      <c r="O13" s="53">
        <f t="shared" si="1"/>
        <v>62432</v>
      </c>
      <c r="P13" s="53">
        <f t="shared" si="1"/>
        <v>1109874.8499999999</v>
      </c>
      <c r="Q13" s="53">
        <f t="shared" si="1"/>
        <v>1172306.85</v>
      </c>
      <c r="R13" s="53">
        <f>+R176</f>
        <v>16344.4</v>
      </c>
      <c r="S13" s="53">
        <f t="shared" si="1"/>
        <v>1188651.25</v>
      </c>
      <c r="T13" s="53">
        <f>+T176</f>
        <v>14852.64</v>
      </c>
      <c r="U13" s="53">
        <f t="shared" si="1"/>
        <v>1203503.89</v>
      </c>
      <c r="V13" s="53">
        <f t="shared" si="1"/>
        <v>57792</v>
      </c>
      <c r="W13" s="53">
        <f t="shared" si="1"/>
        <v>1261295.89</v>
      </c>
      <c r="X13" s="53">
        <f t="shared" si="1"/>
        <v>139038.76</v>
      </c>
      <c r="Y13" s="53">
        <f t="shared" si="1"/>
        <v>1400334.65</v>
      </c>
      <c r="Z13" s="53">
        <f t="shared" si="1"/>
        <v>0</v>
      </c>
      <c r="AA13" s="53">
        <f t="shared" si="1"/>
        <v>1400334.65</v>
      </c>
      <c r="AB13" s="53">
        <f t="shared" si="1"/>
        <v>764684.15</v>
      </c>
      <c r="AC13" s="53">
        <f t="shared" si="1"/>
        <v>2165018.8</v>
      </c>
      <c r="AD13" s="15"/>
      <c r="AE13" s="15"/>
    </row>
    <row r="14" spans="1:30" ht="15.75">
      <c r="A14" s="29"/>
      <c r="B14" s="14"/>
      <c r="C14" s="5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 t="s">
        <v>230</v>
      </c>
      <c r="W14" s="15"/>
      <c r="X14" s="15"/>
      <c r="Y14" s="15"/>
      <c r="Z14" s="15"/>
      <c r="AA14" s="15"/>
      <c r="AB14" s="15"/>
      <c r="AC14" s="15"/>
      <c r="AD14" s="15"/>
    </row>
    <row r="15" spans="1:31" ht="16.5" thickBot="1">
      <c r="A15" s="29"/>
      <c r="B15" s="54"/>
      <c r="C15" s="55" t="s">
        <v>72</v>
      </c>
      <c r="D15" s="56">
        <f aca="true" t="shared" si="2" ref="D15:AC15">SUM(D11:D14)</f>
        <v>234531976.00000003</v>
      </c>
      <c r="E15" s="56">
        <f t="shared" si="2"/>
        <v>320033360.14000005</v>
      </c>
      <c r="F15" s="56">
        <f t="shared" si="2"/>
        <v>14430733.84</v>
      </c>
      <c r="G15" s="56">
        <f t="shared" si="2"/>
        <v>14430733.84</v>
      </c>
      <c r="H15" s="56">
        <f t="shared" si="2"/>
        <v>14575343.600000001</v>
      </c>
      <c r="I15" s="56">
        <f t="shared" si="2"/>
        <v>29006077.439999998</v>
      </c>
      <c r="J15" s="56">
        <f t="shared" si="2"/>
        <v>14287779.579999998</v>
      </c>
      <c r="K15" s="56">
        <f t="shared" si="2"/>
        <v>43293857.019999996</v>
      </c>
      <c r="L15" s="56">
        <f t="shared" si="2"/>
        <v>17225655.040000003</v>
      </c>
      <c r="M15" s="56">
        <f t="shared" si="2"/>
        <v>60519512.059999995</v>
      </c>
      <c r="N15" s="56">
        <f t="shared" si="2"/>
        <v>43638742.45</v>
      </c>
      <c r="O15" s="56">
        <f t="shared" si="2"/>
        <v>104158254.50999999</v>
      </c>
      <c r="P15" s="56">
        <f t="shared" si="2"/>
        <v>27402066.89</v>
      </c>
      <c r="Q15" s="56">
        <f t="shared" si="2"/>
        <v>131560321.39999999</v>
      </c>
      <c r="R15" s="56">
        <f t="shared" si="2"/>
        <v>19110971.869999997</v>
      </c>
      <c r="S15" s="56">
        <f t="shared" si="2"/>
        <v>150671293.27</v>
      </c>
      <c r="T15" s="56">
        <f t="shared" si="2"/>
        <v>17843217.330000002</v>
      </c>
      <c r="U15" s="56">
        <f t="shared" si="2"/>
        <v>168514510.59999996</v>
      </c>
      <c r="V15" s="56">
        <f t="shared" si="2"/>
        <v>27645143.310000002</v>
      </c>
      <c r="W15" s="56">
        <f t="shared" si="2"/>
        <v>196159653.90999997</v>
      </c>
      <c r="X15" s="56">
        <f t="shared" si="2"/>
        <v>27411682.170000006</v>
      </c>
      <c r="Y15" s="56">
        <f t="shared" si="2"/>
        <v>223571336.08</v>
      </c>
      <c r="Z15" s="56">
        <f t="shared" si="2"/>
        <v>31252364.200000003</v>
      </c>
      <c r="AA15" s="56">
        <f t="shared" si="2"/>
        <v>254823700.28</v>
      </c>
      <c r="AB15" s="56">
        <f t="shared" si="2"/>
        <v>65209659.870000005</v>
      </c>
      <c r="AC15" s="56">
        <f t="shared" si="2"/>
        <v>320033360.15</v>
      </c>
      <c r="AD15" s="15"/>
      <c r="AE15" s="15"/>
    </row>
    <row r="16" spans="1:30" ht="15.75" thickTop="1">
      <c r="A16" s="29"/>
      <c r="B16" s="57">
        <v>4311</v>
      </c>
      <c r="C16" s="8" t="s">
        <v>86</v>
      </c>
      <c r="D16" s="15">
        <f>+PRESUPACUM!D16</f>
        <v>0</v>
      </c>
      <c r="E16" s="15">
        <f>+PRESUPACUM!E16</f>
        <v>0</v>
      </c>
      <c r="F16" s="18">
        <v>0</v>
      </c>
      <c r="G16" s="58">
        <f>+F16</f>
        <v>0</v>
      </c>
      <c r="H16" s="18">
        <v>0</v>
      </c>
      <c r="I16" s="58">
        <f>+G16+H16</f>
        <v>0</v>
      </c>
      <c r="J16" s="18">
        <v>0</v>
      </c>
      <c r="K16" s="58">
        <f>+I16+J16</f>
        <v>0</v>
      </c>
      <c r="L16" s="18">
        <v>0</v>
      </c>
      <c r="M16" s="58">
        <f>+K16+L16</f>
        <v>0</v>
      </c>
      <c r="N16" s="18">
        <v>0</v>
      </c>
      <c r="O16" s="58">
        <f>+M16+N16</f>
        <v>0</v>
      </c>
      <c r="P16" s="18">
        <v>0</v>
      </c>
      <c r="Q16" s="58">
        <f>+O16+P16</f>
        <v>0</v>
      </c>
      <c r="R16" s="18">
        <v>0</v>
      </c>
      <c r="S16" s="58">
        <f>+Q16+R16</f>
        <v>0</v>
      </c>
      <c r="T16" s="18">
        <v>0</v>
      </c>
      <c r="U16" s="58">
        <f>+S16+T16</f>
        <v>0</v>
      </c>
      <c r="V16" s="18">
        <v>0</v>
      </c>
      <c r="W16" s="58">
        <f>+U16+V16</f>
        <v>0</v>
      </c>
      <c r="X16" s="18">
        <v>0</v>
      </c>
      <c r="Y16" s="58">
        <f>+W16+X16</f>
        <v>0</v>
      </c>
      <c r="Z16" s="18">
        <v>0</v>
      </c>
      <c r="AA16" s="58">
        <f>+Y16+Z16</f>
        <v>0</v>
      </c>
      <c r="AB16" s="18">
        <v>0</v>
      </c>
      <c r="AC16" s="58">
        <f>+AA16+AB16</f>
        <v>0</v>
      </c>
      <c r="AD16" s="15"/>
    </row>
    <row r="17" spans="1:31" ht="15">
      <c r="A17" s="29"/>
      <c r="B17" s="57">
        <v>4399</v>
      </c>
      <c r="C17" s="8" t="s">
        <v>89</v>
      </c>
      <c r="D17" s="15">
        <f>+PRESUPACUM!D17</f>
        <v>0</v>
      </c>
      <c r="E17" s="15">
        <f>+PRESUPACUM!E17</f>
        <v>0</v>
      </c>
      <c r="F17" s="18">
        <v>0</v>
      </c>
      <c r="G17" s="58">
        <f>+F17</f>
        <v>0</v>
      </c>
      <c r="H17" s="18">
        <v>0</v>
      </c>
      <c r="I17" s="58">
        <f>+G17+H17</f>
        <v>0</v>
      </c>
      <c r="J17" s="18">
        <v>0</v>
      </c>
      <c r="K17" s="58">
        <f>+I17+J17</f>
        <v>0</v>
      </c>
      <c r="L17" s="18">
        <v>0</v>
      </c>
      <c r="M17" s="58">
        <f>+K17+L17</f>
        <v>0</v>
      </c>
      <c r="N17" s="18">
        <v>0</v>
      </c>
      <c r="O17" s="58">
        <f>+M17+N17</f>
        <v>0</v>
      </c>
      <c r="P17" s="18">
        <v>0</v>
      </c>
      <c r="Q17" s="58">
        <f>+O17+P17</f>
        <v>0</v>
      </c>
      <c r="R17" s="18">
        <v>0</v>
      </c>
      <c r="S17" s="58">
        <f>+Q17+R17</f>
        <v>0</v>
      </c>
      <c r="T17" s="18">
        <v>0</v>
      </c>
      <c r="U17" s="58">
        <f>+S17+T17</f>
        <v>0</v>
      </c>
      <c r="V17" s="18">
        <v>0</v>
      </c>
      <c r="W17" s="58">
        <f>+U17+V17</f>
        <v>0</v>
      </c>
      <c r="X17" s="18">
        <v>0</v>
      </c>
      <c r="Y17" s="58">
        <f>+W17+X17</f>
        <v>0</v>
      </c>
      <c r="Z17" s="18">
        <v>0</v>
      </c>
      <c r="AA17" s="58">
        <f>+Y17+Z17</f>
        <v>0</v>
      </c>
      <c r="AB17" s="18">
        <v>0</v>
      </c>
      <c r="AC17" s="58">
        <f>+AA17+AB17</f>
        <v>0</v>
      </c>
      <c r="AD17" s="15"/>
      <c r="AE17" s="15"/>
    </row>
    <row r="18" spans="1:30" ht="15">
      <c r="A18" s="29"/>
      <c r="B18" s="57">
        <v>4326</v>
      </c>
      <c r="C18" s="14" t="s">
        <v>19</v>
      </c>
      <c r="D18" s="15">
        <f>+PRESUPACUM!D18</f>
        <v>0</v>
      </c>
      <c r="E18" s="15">
        <f>+PRESUPACUM!E18</f>
        <v>0</v>
      </c>
      <c r="F18" s="18">
        <v>0</v>
      </c>
      <c r="G18" s="58">
        <f>+F18</f>
        <v>0</v>
      </c>
      <c r="H18" s="18">
        <v>0</v>
      </c>
      <c r="I18" s="58">
        <f>+G18+H18</f>
        <v>0</v>
      </c>
      <c r="J18" s="18">
        <v>0</v>
      </c>
      <c r="K18" s="58">
        <f>+I18+J18</f>
        <v>0</v>
      </c>
      <c r="L18" s="18">
        <v>0</v>
      </c>
      <c r="M18" s="58">
        <f>+K18+L18</f>
        <v>0</v>
      </c>
      <c r="N18" s="18">
        <v>0</v>
      </c>
      <c r="O18" s="58">
        <f>+M18+N18</f>
        <v>0</v>
      </c>
      <c r="P18" s="18">
        <v>0</v>
      </c>
      <c r="Q18" s="58">
        <f>+O18+P18</f>
        <v>0</v>
      </c>
      <c r="R18" s="18">
        <v>0</v>
      </c>
      <c r="S18" s="58">
        <f>+Q18+R18</f>
        <v>0</v>
      </c>
      <c r="T18" s="18">
        <v>0</v>
      </c>
      <c r="U18" s="58">
        <f>+S18+T18</f>
        <v>0</v>
      </c>
      <c r="V18" s="18">
        <v>0</v>
      </c>
      <c r="W18" s="58">
        <f>+U18+V18</f>
        <v>0</v>
      </c>
      <c r="X18" s="18">
        <v>0</v>
      </c>
      <c r="Y18" s="58">
        <f>+W18+X18</f>
        <v>0</v>
      </c>
      <c r="Z18" s="18">
        <v>0</v>
      </c>
      <c r="AA18" s="58">
        <f>+Y18+Z18</f>
        <v>0</v>
      </c>
      <c r="AB18" s="18">
        <v>0</v>
      </c>
      <c r="AC18" s="58">
        <f>+AA18+AB18</f>
        <v>0</v>
      </c>
      <c r="AD18" s="15"/>
    </row>
    <row r="19" spans="1:30" ht="15">
      <c r="A19" s="29"/>
      <c r="B19" s="57">
        <v>4176</v>
      </c>
      <c r="C19" s="14" t="s">
        <v>18</v>
      </c>
      <c r="D19" s="15">
        <f>+PRESUPACUM!D19</f>
        <v>0</v>
      </c>
      <c r="E19" s="15">
        <f>+PRESUPACUM!E19</f>
        <v>0</v>
      </c>
      <c r="F19" s="18">
        <v>0</v>
      </c>
      <c r="G19" s="58">
        <f>+F19</f>
        <v>0</v>
      </c>
      <c r="H19" s="18">
        <v>0</v>
      </c>
      <c r="I19" s="58">
        <f>+G19+H19</f>
        <v>0</v>
      </c>
      <c r="J19" s="18">
        <v>0</v>
      </c>
      <c r="K19" s="58">
        <f>+I19+J19</f>
        <v>0</v>
      </c>
      <c r="L19" s="18">
        <v>0</v>
      </c>
      <c r="M19" s="58">
        <f>+K19+L19</f>
        <v>0</v>
      </c>
      <c r="N19" s="18">
        <v>0</v>
      </c>
      <c r="O19" s="58">
        <f>+M19+N19</f>
        <v>0</v>
      </c>
      <c r="P19" s="18">
        <v>0</v>
      </c>
      <c r="Q19" s="58">
        <f>+O19+P19</f>
        <v>0</v>
      </c>
      <c r="R19" s="18">
        <v>0</v>
      </c>
      <c r="S19" s="58">
        <f>+Q19+R19</f>
        <v>0</v>
      </c>
      <c r="T19" s="18">
        <v>0</v>
      </c>
      <c r="U19" s="58">
        <f>+S19+T19</f>
        <v>0</v>
      </c>
      <c r="V19" s="18">
        <v>0</v>
      </c>
      <c r="W19" s="58">
        <f>+U19+V19</f>
        <v>0</v>
      </c>
      <c r="X19" s="18">
        <v>0</v>
      </c>
      <c r="Y19" s="58">
        <f>+W19+X19</f>
        <v>0</v>
      </c>
      <c r="Z19" s="18">
        <v>0</v>
      </c>
      <c r="AA19" s="58">
        <f>+Y19+Z19</f>
        <v>0</v>
      </c>
      <c r="AB19" s="18">
        <v>0</v>
      </c>
      <c r="AC19" s="58">
        <f>+AA19+AB19</f>
        <v>0</v>
      </c>
      <c r="AD19" s="15"/>
    </row>
    <row r="20" spans="1:30" ht="15">
      <c r="A20" s="29"/>
      <c r="B20" s="14"/>
      <c r="C20" s="14"/>
      <c r="D20" s="15"/>
      <c r="E20" s="15"/>
      <c r="F20" s="18"/>
      <c r="G20" s="58"/>
      <c r="H20" s="18"/>
      <c r="I20" s="58"/>
      <c r="J20" s="18"/>
      <c r="K20" s="58"/>
      <c r="L20" s="18"/>
      <c r="M20" s="58"/>
      <c r="N20" s="18"/>
      <c r="O20" s="58"/>
      <c r="P20" s="18"/>
      <c r="Q20" s="58"/>
      <c r="R20" s="18"/>
      <c r="S20" s="58"/>
      <c r="T20" s="18"/>
      <c r="U20" s="58"/>
      <c r="V20" s="18"/>
      <c r="W20" s="58"/>
      <c r="X20" s="18"/>
      <c r="Y20" s="58"/>
      <c r="Z20" s="18"/>
      <c r="AA20" s="58"/>
      <c r="AB20" s="18"/>
      <c r="AC20" s="58"/>
      <c r="AD20" s="15"/>
    </row>
    <row r="21" spans="1:30" ht="16.5" thickBot="1">
      <c r="A21" s="29"/>
      <c r="B21" s="14"/>
      <c r="C21" s="55" t="s">
        <v>66</v>
      </c>
      <c r="D21" s="60">
        <f aca="true" t="shared" si="3" ref="D21:AC21">SUM(D15:D19)</f>
        <v>234531976.00000003</v>
      </c>
      <c r="E21" s="60">
        <f t="shared" si="3"/>
        <v>320033360.14000005</v>
      </c>
      <c r="F21" s="60">
        <f t="shared" si="3"/>
        <v>14430733.84</v>
      </c>
      <c r="G21" s="60">
        <f t="shared" si="3"/>
        <v>14430733.84</v>
      </c>
      <c r="H21" s="60">
        <f>SUM(H15:H19)</f>
        <v>14575343.600000001</v>
      </c>
      <c r="I21" s="60">
        <f t="shared" si="3"/>
        <v>29006077.439999998</v>
      </c>
      <c r="J21" s="60">
        <f>SUM(J15:J19)</f>
        <v>14287779.579999998</v>
      </c>
      <c r="K21" s="60">
        <f t="shared" si="3"/>
        <v>43293857.019999996</v>
      </c>
      <c r="L21" s="60">
        <f t="shared" si="3"/>
        <v>17225655.040000003</v>
      </c>
      <c r="M21" s="60">
        <f t="shared" si="3"/>
        <v>60519512.059999995</v>
      </c>
      <c r="N21" s="60">
        <f>SUM(N15:N19)</f>
        <v>43638742.45</v>
      </c>
      <c r="O21" s="60">
        <f t="shared" si="3"/>
        <v>104158254.50999999</v>
      </c>
      <c r="P21" s="60">
        <f>SUM(P15:P19)</f>
        <v>27402066.89</v>
      </c>
      <c r="Q21" s="60">
        <f t="shared" si="3"/>
        <v>131560321.39999999</v>
      </c>
      <c r="R21" s="60">
        <f t="shared" si="3"/>
        <v>19110971.869999997</v>
      </c>
      <c r="S21" s="60">
        <f t="shared" si="3"/>
        <v>150671293.27</v>
      </c>
      <c r="T21" s="60">
        <f>SUM(T15:T19)</f>
        <v>17843217.330000002</v>
      </c>
      <c r="U21" s="60">
        <f t="shared" si="3"/>
        <v>168514510.59999996</v>
      </c>
      <c r="V21" s="60">
        <f>SUM(V15:V19)</f>
        <v>27645143.310000002</v>
      </c>
      <c r="W21" s="60">
        <f t="shared" si="3"/>
        <v>196159653.90999997</v>
      </c>
      <c r="X21" s="60">
        <f t="shared" si="3"/>
        <v>27411682.170000006</v>
      </c>
      <c r="Y21" s="60">
        <f t="shared" si="3"/>
        <v>223571336.08</v>
      </c>
      <c r="Z21" s="60">
        <f>SUM(Z15:Z19)</f>
        <v>31252364.200000003</v>
      </c>
      <c r="AA21" s="60">
        <f t="shared" si="3"/>
        <v>254823700.28</v>
      </c>
      <c r="AB21" s="60">
        <f>SUM(AB15:AB19)</f>
        <v>65209659.870000005</v>
      </c>
      <c r="AC21" s="60">
        <f t="shared" si="3"/>
        <v>320033360.15</v>
      </c>
      <c r="AD21" s="15"/>
    </row>
    <row r="22" spans="1:30" ht="15.75" thickTop="1">
      <c r="A22" s="29"/>
      <c r="B22" s="14"/>
      <c r="C22" s="1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5"/>
    </row>
    <row r="23" spans="1:30" ht="16.5" thickBot="1">
      <c r="A23" s="29"/>
      <c r="B23" s="61">
        <v>1000</v>
      </c>
      <c r="C23" s="128" t="s">
        <v>31</v>
      </c>
      <c r="D23" s="62">
        <f>+D25+D28+D31+D37+D44</f>
        <v>193447316.53000003</v>
      </c>
      <c r="E23" s="62">
        <f aca="true" t="shared" si="4" ref="E23:AC23">+E25+E28+E31+E37+E44</f>
        <v>278683053.41</v>
      </c>
      <c r="F23" s="62">
        <f t="shared" si="4"/>
        <v>13400277.85</v>
      </c>
      <c r="G23" s="62">
        <f t="shared" si="4"/>
        <v>13400277.85</v>
      </c>
      <c r="H23" s="62">
        <f>+H25+H28+H31+H37+H44</f>
        <v>13465431.89</v>
      </c>
      <c r="I23" s="62">
        <f t="shared" si="4"/>
        <v>26865709.74</v>
      </c>
      <c r="J23" s="62">
        <f>+J25+J28+J31+J37+J44</f>
        <v>13114011.95</v>
      </c>
      <c r="K23" s="62">
        <f t="shared" si="4"/>
        <v>39979721.69</v>
      </c>
      <c r="L23" s="62">
        <f t="shared" si="4"/>
        <v>15358612.330000002</v>
      </c>
      <c r="M23" s="62">
        <f t="shared" si="4"/>
        <v>55338334.019999996</v>
      </c>
      <c r="N23" s="62">
        <f>+N25+N28+N31+N37+N44</f>
        <v>41399805</v>
      </c>
      <c r="O23" s="62">
        <f t="shared" si="4"/>
        <v>96738139.02</v>
      </c>
      <c r="P23" s="62">
        <f>+P25+P28+P31+P37+P44</f>
        <v>23071960.89</v>
      </c>
      <c r="Q23" s="62">
        <f t="shared" si="4"/>
        <v>119810099.91</v>
      </c>
      <c r="R23" s="62">
        <f t="shared" si="4"/>
        <v>15779442.209999997</v>
      </c>
      <c r="S23" s="62">
        <f t="shared" si="4"/>
        <v>135589542.12</v>
      </c>
      <c r="T23" s="62">
        <f>+T25+T28+T31+T37+T44</f>
        <v>14441053.43</v>
      </c>
      <c r="U23" s="62">
        <f t="shared" si="4"/>
        <v>150030595.54999998</v>
      </c>
      <c r="V23" s="62">
        <f>+V25+V28+V31+V37+V44</f>
        <v>22957464.95</v>
      </c>
      <c r="W23" s="62">
        <f t="shared" si="4"/>
        <v>172988060.5</v>
      </c>
      <c r="X23" s="62">
        <f t="shared" si="4"/>
        <v>22700007.900000002</v>
      </c>
      <c r="Y23" s="62">
        <f t="shared" si="4"/>
        <v>195688068.4</v>
      </c>
      <c r="Z23" s="62">
        <f>+Z25+Z28+Z31+Z37+Z44</f>
        <v>26701247.92</v>
      </c>
      <c r="AA23" s="62">
        <f t="shared" si="4"/>
        <v>222389316.32</v>
      </c>
      <c r="AB23" s="62">
        <f>+AB25+AB28+AB31+AB37+AB44</f>
        <v>56293737.080000006</v>
      </c>
      <c r="AC23" s="62">
        <f t="shared" si="4"/>
        <v>278683053.4</v>
      </c>
      <c r="AD23" s="15"/>
    </row>
    <row r="24" spans="1:30" ht="16.5" thickTop="1">
      <c r="A24" s="29"/>
      <c r="B24" s="63"/>
      <c r="C24" s="6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5"/>
    </row>
    <row r="25" spans="1:30" ht="15.75">
      <c r="A25" s="29"/>
      <c r="B25" s="63">
        <v>1100</v>
      </c>
      <c r="C25" s="67" t="s">
        <v>169</v>
      </c>
      <c r="D25" s="68">
        <f aca="true" t="shared" si="5" ref="D25:AC25">SUM(D26:D26)</f>
        <v>32732725.440000005</v>
      </c>
      <c r="E25" s="68">
        <f t="shared" si="5"/>
        <v>33857507.42</v>
      </c>
      <c r="F25" s="68">
        <f t="shared" si="5"/>
        <v>2641207.3</v>
      </c>
      <c r="G25" s="68">
        <f t="shared" si="5"/>
        <v>2641207.3</v>
      </c>
      <c r="H25" s="68">
        <f t="shared" si="5"/>
        <v>2676143.54</v>
      </c>
      <c r="I25" s="68">
        <f t="shared" si="5"/>
        <v>5317350.84</v>
      </c>
      <c r="J25" s="68">
        <f t="shared" si="5"/>
        <v>2588543.05</v>
      </c>
      <c r="K25" s="68">
        <f t="shared" si="5"/>
        <v>7905893.89</v>
      </c>
      <c r="L25" s="68">
        <f t="shared" si="5"/>
        <v>3147707.39</v>
      </c>
      <c r="M25" s="68">
        <f t="shared" si="5"/>
        <v>11053601.28</v>
      </c>
      <c r="N25" s="68">
        <f t="shared" si="5"/>
        <v>2919309.69</v>
      </c>
      <c r="O25" s="68">
        <f t="shared" si="5"/>
        <v>13972910.969999999</v>
      </c>
      <c r="P25" s="68">
        <f t="shared" si="5"/>
        <v>2899553.46</v>
      </c>
      <c r="Q25" s="68">
        <f t="shared" si="5"/>
        <v>16872464.43</v>
      </c>
      <c r="R25" s="68">
        <f t="shared" si="5"/>
        <v>2852823.55</v>
      </c>
      <c r="S25" s="68">
        <f t="shared" si="5"/>
        <v>19725287.98</v>
      </c>
      <c r="T25" s="68">
        <f t="shared" si="5"/>
        <v>2798828.7</v>
      </c>
      <c r="U25" s="68">
        <f t="shared" si="5"/>
        <v>22524116.68</v>
      </c>
      <c r="V25" s="68">
        <f t="shared" si="5"/>
        <v>2795826.12</v>
      </c>
      <c r="W25" s="68">
        <f t="shared" si="5"/>
        <v>25319942.8</v>
      </c>
      <c r="X25" s="68">
        <f t="shared" si="5"/>
        <v>2869038.78</v>
      </c>
      <c r="Y25" s="68">
        <f t="shared" si="5"/>
        <v>28188981.580000002</v>
      </c>
      <c r="Z25" s="68">
        <f t="shared" si="5"/>
        <v>2841246.91</v>
      </c>
      <c r="AA25" s="68">
        <f t="shared" si="5"/>
        <v>31030228.490000002</v>
      </c>
      <c r="AB25" s="68">
        <f t="shared" si="5"/>
        <v>2827278.93</v>
      </c>
      <c r="AC25" s="68">
        <f t="shared" si="5"/>
        <v>33857507.42</v>
      </c>
      <c r="AD25" s="15"/>
    </row>
    <row r="26" spans="1:30" ht="15">
      <c r="A26" s="29"/>
      <c r="B26" s="57">
        <v>1131</v>
      </c>
      <c r="C26" s="14" t="s">
        <v>90</v>
      </c>
      <c r="D26" s="58">
        <f>+PRESUPACUM!D26</f>
        <v>32732725.440000005</v>
      </c>
      <c r="E26" s="58">
        <f>+PRESUPACUM!E26</f>
        <v>33857507.42</v>
      </c>
      <c r="F26" s="18">
        <v>2641207.3</v>
      </c>
      <c r="G26" s="58">
        <f>+F26</f>
        <v>2641207.3</v>
      </c>
      <c r="H26" s="18">
        <v>2676143.54</v>
      </c>
      <c r="I26" s="58">
        <f>+G26+H26</f>
        <v>5317350.84</v>
      </c>
      <c r="J26" s="18">
        <v>2588543.05</v>
      </c>
      <c r="K26" s="58">
        <f>+I26+J26</f>
        <v>7905893.89</v>
      </c>
      <c r="L26" s="18">
        <v>3147707.39</v>
      </c>
      <c r="M26" s="58">
        <f>+K26+L26</f>
        <v>11053601.28</v>
      </c>
      <c r="N26" s="18">
        <v>2919309.69</v>
      </c>
      <c r="O26" s="58">
        <f>+M26+N26</f>
        <v>13972910.969999999</v>
      </c>
      <c r="P26" s="18">
        <v>2899553.46</v>
      </c>
      <c r="Q26" s="58">
        <f>+O26+P26</f>
        <v>16872464.43</v>
      </c>
      <c r="R26" s="18">
        <v>2852823.55</v>
      </c>
      <c r="S26" s="58">
        <f>+Q26+R26</f>
        <v>19725287.98</v>
      </c>
      <c r="T26" s="18">
        <v>2798828.7</v>
      </c>
      <c r="U26" s="58">
        <f>+S26+T26</f>
        <v>22524116.68</v>
      </c>
      <c r="V26" s="18">
        <v>2795826.12</v>
      </c>
      <c r="W26" s="58">
        <f>+U26+V26</f>
        <v>25319942.8</v>
      </c>
      <c r="X26" s="18">
        <v>2869038.78</v>
      </c>
      <c r="Y26" s="58">
        <f>+W26+X26</f>
        <v>28188981.580000002</v>
      </c>
      <c r="Z26" s="18">
        <v>2841246.91</v>
      </c>
      <c r="AA26" s="58">
        <f>+Y26+Z26</f>
        <v>31030228.490000002</v>
      </c>
      <c r="AB26" s="18">
        <v>2827278.93</v>
      </c>
      <c r="AC26" s="15">
        <f>+AA26+AB26</f>
        <v>33857507.42</v>
      </c>
      <c r="AD26" s="15"/>
    </row>
    <row r="27" spans="1:30" ht="15">
      <c r="A27" s="29"/>
      <c r="D27" s="58"/>
      <c r="E27" s="5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.75">
      <c r="A28" s="29"/>
      <c r="B28" s="69">
        <v>1200</v>
      </c>
      <c r="C28" s="67" t="s">
        <v>170</v>
      </c>
      <c r="D28" s="91">
        <f aca="true" t="shared" si="6" ref="D28:AC28">SUM(D29:D29)</f>
        <v>5038758.53</v>
      </c>
      <c r="E28" s="91">
        <f t="shared" si="6"/>
        <v>8318541.030000001</v>
      </c>
      <c r="F28" s="68">
        <f t="shared" si="6"/>
        <v>396317.29</v>
      </c>
      <c r="G28" s="68">
        <f t="shared" si="6"/>
        <v>396317.29</v>
      </c>
      <c r="H28" s="68">
        <f t="shared" si="6"/>
        <v>411003.65</v>
      </c>
      <c r="I28" s="68">
        <f t="shared" si="6"/>
        <v>807320.94</v>
      </c>
      <c r="J28" s="68">
        <f t="shared" si="6"/>
        <v>411003.65</v>
      </c>
      <c r="K28" s="68">
        <f t="shared" si="6"/>
        <v>1218324.5899999999</v>
      </c>
      <c r="L28" s="68">
        <f t="shared" si="6"/>
        <v>484924.78</v>
      </c>
      <c r="M28" s="68">
        <f t="shared" si="6"/>
        <v>1703249.3699999999</v>
      </c>
      <c r="N28" s="68">
        <f t="shared" si="6"/>
        <v>717569.99</v>
      </c>
      <c r="O28" s="68">
        <f t="shared" si="6"/>
        <v>2420819.36</v>
      </c>
      <c r="P28" s="68">
        <f t="shared" si="6"/>
        <v>694814.38</v>
      </c>
      <c r="Q28" s="68">
        <f t="shared" si="6"/>
        <v>3115633.7399999998</v>
      </c>
      <c r="R28" s="68">
        <f t="shared" si="6"/>
        <v>443697.86</v>
      </c>
      <c r="S28" s="68">
        <f t="shared" si="6"/>
        <v>3559331.5999999996</v>
      </c>
      <c r="T28" s="68">
        <f t="shared" si="6"/>
        <v>400851.76</v>
      </c>
      <c r="U28" s="68">
        <f t="shared" si="6"/>
        <v>3960183.3599999994</v>
      </c>
      <c r="V28" s="68">
        <f t="shared" si="6"/>
        <v>752622.43</v>
      </c>
      <c r="W28" s="68">
        <f t="shared" si="6"/>
        <v>4712805.789999999</v>
      </c>
      <c r="X28" s="68">
        <f t="shared" si="6"/>
        <v>720933.35</v>
      </c>
      <c r="Y28" s="68">
        <f t="shared" si="6"/>
        <v>5433739.139999999</v>
      </c>
      <c r="Z28" s="68">
        <f t="shared" si="6"/>
        <v>929960.09</v>
      </c>
      <c r="AA28" s="68">
        <f t="shared" si="6"/>
        <v>6363699.229999999</v>
      </c>
      <c r="AB28" s="68">
        <f t="shared" si="6"/>
        <v>1954841.8</v>
      </c>
      <c r="AC28" s="68">
        <f t="shared" si="6"/>
        <v>8318541.029999998</v>
      </c>
      <c r="AD28" s="15"/>
    </row>
    <row r="29" spans="1:30" ht="15">
      <c r="A29" s="29"/>
      <c r="B29" s="57">
        <v>1211</v>
      </c>
      <c r="C29" s="14" t="s">
        <v>190</v>
      </c>
      <c r="D29" s="58">
        <f>+PRESUPACUM!D29</f>
        <v>5038758.53</v>
      </c>
      <c r="E29" s="58">
        <f>+PRESUPACUM!E29</f>
        <v>8318541.030000001</v>
      </c>
      <c r="F29" s="18">
        <v>396317.29</v>
      </c>
      <c r="G29" s="59">
        <f>+F29</f>
        <v>396317.29</v>
      </c>
      <c r="H29" s="18">
        <v>411003.65</v>
      </c>
      <c r="I29" s="15">
        <f>+G29+H29</f>
        <v>807320.94</v>
      </c>
      <c r="J29" s="18">
        <v>411003.65</v>
      </c>
      <c r="K29" s="15">
        <f>+I29+J29</f>
        <v>1218324.5899999999</v>
      </c>
      <c r="L29" s="18">
        <v>484924.78</v>
      </c>
      <c r="M29" s="15">
        <f>+K29+L29</f>
        <v>1703249.3699999999</v>
      </c>
      <c r="N29" s="18">
        <v>717569.99</v>
      </c>
      <c r="O29" s="15">
        <f>+M29+N29</f>
        <v>2420819.36</v>
      </c>
      <c r="P29" s="18">
        <v>694814.38</v>
      </c>
      <c r="Q29" s="15">
        <f>+O29+P29</f>
        <v>3115633.7399999998</v>
      </c>
      <c r="R29" s="18">
        <v>443697.86</v>
      </c>
      <c r="S29" s="15">
        <f>+Q29+R29</f>
        <v>3559331.5999999996</v>
      </c>
      <c r="T29" s="18">
        <v>400851.76</v>
      </c>
      <c r="U29" s="15">
        <f>+S29+T29</f>
        <v>3960183.3599999994</v>
      </c>
      <c r="V29" s="18">
        <v>752622.43</v>
      </c>
      <c r="W29" s="15">
        <f>+U29+V29</f>
        <v>4712805.789999999</v>
      </c>
      <c r="X29" s="18">
        <v>720933.35</v>
      </c>
      <c r="Y29" s="15">
        <f>+W29+X29</f>
        <v>5433739.139999999</v>
      </c>
      <c r="Z29" s="18">
        <v>929960.09</v>
      </c>
      <c r="AA29" s="15">
        <f>+Y29+Z29</f>
        <v>6363699.229999999</v>
      </c>
      <c r="AB29" s="18">
        <v>1954841.8</v>
      </c>
      <c r="AC29" s="15">
        <f>+AA29+AB29</f>
        <v>8318541.029999998</v>
      </c>
      <c r="AD29" s="15"/>
    </row>
    <row r="30" spans="1:30" ht="15">
      <c r="A30" s="29"/>
      <c r="D30" s="58"/>
      <c r="E30" s="5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.75">
      <c r="A31" s="29"/>
      <c r="B31" s="69">
        <v>1300</v>
      </c>
      <c r="C31" s="67" t="s">
        <v>12</v>
      </c>
      <c r="D31" s="92">
        <f aca="true" t="shared" si="7" ref="D31:AC31">SUM(D32:D35)</f>
        <v>23987064.840000004</v>
      </c>
      <c r="E31" s="92">
        <f>SUM(E32:E35)</f>
        <v>36101103.41</v>
      </c>
      <c r="F31" s="70">
        <f t="shared" si="7"/>
        <v>3878.69</v>
      </c>
      <c r="G31" s="70">
        <f t="shared" si="7"/>
        <v>3878.69</v>
      </c>
      <c r="H31" s="70">
        <f>SUM(H32:H35)</f>
        <v>36394.880000000005</v>
      </c>
      <c r="I31" s="70">
        <f t="shared" si="7"/>
        <v>40273.57</v>
      </c>
      <c r="J31" s="70">
        <f>SUM(J32:J35)</f>
        <v>2670</v>
      </c>
      <c r="K31" s="70">
        <f t="shared" si="7"/>
        <v>42943.57</v>
      </c>
      <c r="L31" s="70">
        <f t="shared" si="7"/>
        <v>337665.49</v>
      </c>
      <c r="M31" s="70">
        <f t="shared" si="7"/>
        <v>380609.05999999994</v>
      </c>
      <c r="N31" s="70">
        <f>SUM(N32:N35)</f>
        <v>533822.9099999999</v>
      </c>
      <c r="O31" s="70">
        <f t="shared" si="7"/>
        <v>914431.97</v>
      </c>
      <c r="P31" s="70">
        <f>SUM(P32:P35)</f>
        <v>422086.51</v>
      </c>
      <c r="Q31" s="70">
        <f t="shared" si="7"/>
        <v>1336518.48</v>
      </c>
      <c r="R31" s="70">
        <f>SUM(R32:R35)</f>
        <v>1440053.41</v>
      </c>
      <c r="S31" s="70">
        <f t="shared" si="7"/>
        <v>2776571.8899999997</v>
      </c>
      <c r="T31" s="70">
        <f t="shared" si="7"/>
        <v>66623.29000000001</v>
      </c>
      <c r="U31" s="70">
        <f t="shared" si="7"/>
        <v>2843195.1799999997</v>
      </c>
      <c r="V31" s="70">
        <f>SUM(V32:V35)</f>
        <v>2174</v>
      </c>
      <c r="W31" s="70">
        <f t="shared" si="7"/>
        <v>2845369.1799999997</v>
      </c>
      <c r="X31" s="70">
        <f>SUM(X32:X35)</f>
        <v>503595.01999999996</v>
      </c>
      <c r="Y31" s="70">
        <f t="shared" si="7"/>
        <v>3348964.2</v>
      </c>
      <c r="Z31" s="70">
        <f t="shared" si="7"/>
        <v>207354.84000000003</v>
      </c>
      <c r="AA31" s="70">
        <f t="shared" si="7"/>
        <v>3556319.04</v>
      </c>
      <c r="AB31" s="70">
        <f>SUM(AB32:AB35)</f>
        <v>32544784.37</v>
      </c>
      <c r="AC31" s="70">
        <f t="shared" si="7"/>
        <v>36101103.41</v>
      </c>
      <c r="AD31" s="15"/>
    </row>
    <row r="32" spans="1:30" ht="15">
      <c r="A32" s="29"/>
      <c r="B32" s="57">
        <v>1311</v>
      </c>
      <c r="C32" s="26" t="s">
        <v>91</v>
      </c>
      <c r="D32" s="93">
        <f>+PRESUPACUM!D32</f>
        <v>20651.4</v>
      </c>
      <c r="E32" s="93">
        <f>+PRESUPACUM!E32</f>
        <v>29131</v>
      </c>
      <c r="F32" s="17">
        <v>2720.5</v>
      </c>
      <c r="G32" s="59">
        <f>+F32</f>
        <v>2720.5</v>
      </c>
      <c r="H32" s="17">
        <v>2670</v>
      </c>
      <c r="I32" s="15">
        <f>+G32+H32</f>
        <v>5390.5</v>
      </c>
      <c r="J32" s="17">
        <v>2670</v>
      </c>
      <c r="K32" s="15">
        <f>+I32+J32</f>
        <v>8060.5</v>
      </c>
      <c r="L32" s="17">
        <v>2586</v>
      </c>
      <c r="M32" s="15">
        <f>+K32+L32</f>
        <v>10646.5</v>
      </c>
      <c r="N32" s="17">
        <v>2563</v>
      </c>
      <c r="O32" s="15">
        <f>+M32+N32</f>
        <v>13209.5</v>
      </c>
      <c r="P32" s="17">
        <v>2321</v>
      </c>
      <c r="Q32" s="15">
        <f>+O32+P32</f>
        <v>15530.5</v>
      </c>
      <c r="R32" s="17">
        <v>2298</v>
      </c>
      <c r="S32" s="15">
        <f>+Q32+R32</f>
        <v>17828.5</v>
      </c>
      <c r="T32" s="17">
        <v>2275</v>
      </c>
      <c r="U32" s="15">
        <f>+S32+T32</f>
        <v>20103.5</v>
      </c>
      <c r="V32" s="17">
        <v>2174</v>
      </c>
      <c r="W32" s="15">
        <f>+U32+V32</f>
        <v>22277.5</v>
      </c>
      <c r="X32" s="17">
        <v>2302.5</v>
      </c>
      <c r="Y32" s="15">
        <f>+W32+X32</f>
        <v>24580</v>
      </c>
      <c r="Z32" s="17">
        <v>2330</v>
      </c>
      <c r="AA32" s="15">
        <f>+Y32+Z32</f>
        <v>26910</v>
      </c>
      <c r="AB32" s="17">
        <v>2221</v>
      </c>
      <c r="AC32" s="15">
        <f>+AA32+AB32</f>
        <v>29131</v>
      </c>
      <c r="AD32" s="15"/>
    </row>
    <row r="33" spans="1:40" ht="15">
      <c r="A33" s="29"/>
      <c r="B33" s="57">
        <v>1321</v>
      </c>
      <c r="C33" s="14" t="s">
        <v>92</v>
      </c>
      <c r="D33" s="93">
        <f>+PRESUPACUM!D33</f>
        <v>3065133.1199999996</v>
      </c>
      <c r="E33" s="93">
        <f>+PRESUPACUM!E33</f>
        <v>2924228.25</v>
      </c>
      <c r="F33" s="17">
        <v>1158.19</v>
      </c>
      <c r="G33" s="59">
        <f>+F33</f>
        <v>1158.19</v>
      </c>
      <c r="H33" s="17">
        <v>14665.15</v>
      </c>
      <c r="I33" s="15">
        <f>+G33+H33</f>
        <v>15823.34</v>
      </c>
      <c r="J33" s="17">
        <v>0</v>
      </c>
      <c r="K33" s="15">
        <f>+I33+J33</f>
        <v>15823.34</v>
      </c>
      <c r="L33" s="17">
        <v>32890.64</v>
      </c>
      <c r="M33" s="15">
        <f>+K33+L33</f>
        <v>48713.979999999996</v>
      </c>
      <c r="N33" s="17">
        <v>80093.81</v>
      </c>
      <c r="O33" s="15">
        <f>+M33+N33</f>
        <v>128807.79</v>
      </c>
      <c r="P33" s="17">
        <v>63879.78</v>
      </c>
      <c r="Q33" s="15">
        <f>+O33+P33</f>
        <v>192687.57</v>
      </c>
      <c r="R33" s="17">
        <v>1216665.72</v>
      </c>
      <c r="S33" s="15">
        <f>+Q33+R33</f>
        <v>1409353.29</v>
      </c>
      <c r="T33" s="17">
        <v>4047.75</v>
      </c>
      <c r="U33" s="15">
        <f>+S33+T33</f>
        <v>1413401.04</v>
      </c>
      <c r="V33" s="17">
        <v>0</v>
      </c>
      <c r="W33" s="15">
        <f>+U33+V33</f>
        <v>1413401.04</v>
      </c>
      <c r="X33" s="17">
        <v>26472.11</v>
      </c>
      <c r="Y33" s="15">
        <f>+W33+X33</f>
        <v>1439873.1500000001</v>
      </c>
      <c r="Z33" s="17">
        <v>23910.64</v>
      </c>
      <c r="AA33" s="15">
        <f>+Y33+Z33</f>
        <v>1463783.79</v>
      </c>
      <c r="AB33" s="17">
        <v>1460444.46</v>
      </c>
      <c r="AC33" s="15">
        <f>+AA33+AB33</f>
        <v>2924228.25</v>
      </c>
      <c r="AD33" s="59"/>
      <c r="AE33" s="15"/>
      <c r="AF33" s="15"/>
      <c r="AG33" s="15"/>
      <c r="AH33" s="15"/>
      <c r="AI33" s="15"/>
      <c r="AJ33" s="15"/>
      <c r="AK33" s="15"/>
      <c r="AL33" s="15"/>
      <c r="AM33" s="15"/>
      <c r="AN33" s="22"/>
    </row>
    <row r="34" spans="1:30" ht="15">
      <c r="A34" s="29"/>
      <c r="B34" s="57">
        <v>1323</v>
      </c>
      <c r="C34" s="14" t="s">
        <v>51</v>
      </c>
      <c r="D34" s="58">
        <f>+PRESUPACUM!D34</f>
        <v>20901280.320000004</v>
      </c>
      <c r="E34" s="58">
        <f>+PRESUPACUM!E34</f>
        <v>31693441.44</v>
      </c>
      <c r="F34" s="18">
        <v>0</v>
      </c>
      <c r="G34" s="59">
        <f>+F34</f>
        <v>0</v>
      </c>
      <c r="H34" s="18">
        <v>19059.73</v>
      </c>
      <c r="I34" s="15">
        <f>+G34+H34</f>
        <v>19059.73</v>
      </c>
      <c r="J34" s="18">
        <v>0</v>
      </c>
      <c r="K34" s="15">
        <f>+I34+J34</f>
        <v>19059.73</v>
      </c>
      <c r="L34" s="18">
        <v>302188.85</v>
      </c>
      <c r="M34" s="15">
        <f>+K34+L34</f>
        <v>321248.57999999996</v>
      </c>
      <c r="N34" s="18">
        <v>451166.1</v>
      </c>
      <c r="O34" s="15">
        <f>+M34+N34</f>
        <v>772414.6799999999</v>
      </c>
      <c r="P34" s="18">
        <v>355885.73</v>
      </c>
      <c r="Q34" s="15">
        <f>+O34+P34</f>
        <v>1128300.41</v>
      </c>
      <c r="R34" s="18">
        <v>221089.69</v>
      </c>
      <c r="S34" s="15">
        <f>+Q34+R34</f>
        <v>1349390.0999999999</v>
      </c>
      <c r="T34" s="18">
        <v>60300.54</v>
      </c>
      <c r="U34" s="15">
        <f>+S34+T34</f>
        <v>1409690.64</v>
      </c>
      <c r="V34" s="18">
        <v>0</v>
      </c>
      <c r="W34" s="15">
        <f>+U34+V34</f>
        <v>1409690.64</v>
      </c>
      <c r="X34" s="18">
        <v>474820.41</v>
      </c>
      <c r="Y34" s="15">
        <f>+W34+X34</f>
        <v>1884511.0499999998</v>
      </c>
      <c r="Z34" s="18">
        <v>181114.2</v>
      </c>
      <c r="AA34" s="15">
        <f>+Y34+Z34</f>
        <v>2065625.2499999998</v>
      </c>
      <c r="AB34" s="18">
        <v>29627816.19</v>
      </c>
      <c r="AC34" s="15">
        <f>+AA34+AB34</f>
        <v>31693441.44</v>
      </c>
      <c r="AD34" s="15"/>
    </row>
    <row r="35" spans="1:30" ht="15">
      <c r="A35" s="29"/>
      <c r="B35" s="57">
        <v>1341</v>
      </c>
      <c r="C35" s="14" t="s">
        <v>246</v>
      </c>
      <c r="D35" s="58">
        <f>+PRESUPACUM!D35</f>
        <v>0</v>
      </c>
      <c r="E35" s="58">
        <f>+PRESUPACUM!E35</f>
        <v>1454302.72</v>
      </c>
      <c r="F35" s="18">
        <v>0</v>
      </c>
      <c r="G35" s="59">
        <f>+F35</f>
        <v>0</v>
      </c>
      <c r="H35" s="18">
        <v>0</v>
      </c>
      <c r="I35" s="15">
        <f>+G35+H35</f>
        <v>0</v>
      </c>
      <c r="J35" s="18">
        <v>0</v>
      </c>
      <c r="K35" s="15">
        <f>+I35+J35</f>
        <v>0</v>
      </c>
      <c r="L35" s="18">
        <v>0</v>
      </c>
      <c r="M35" s="15">
        <f>+K35+L35</f>
        <v>0</v>
      </c>
      <c r="N35" s="18">
        <v>0</v>
      </c>
      <c r="O35" s="15">
        <f>+M35+N35</f>
        <v>0</v>
      </c>
      <c r="P35" s="18">
        <v>0</v>
      </c>
      <c r="Q35" s="15">
        <f>+O35+P35</f>
        <v>0</v>
      </c>
      <c r="R35" s="18">
        <v>0</v>
      </c>
      <c r="S35" s="15">
        <f>+Q35+R35</f>
        <v>0</v>
      </c>
      <c r="T35" s="18">
        <v>0</v>
      </c>
      <c r="U35" s="15">
        <f>+S35+T35</f>
        <v>0</v>
      </c>
      <c r="V35" s="18">
        <v>0</v>
      </c>
      <c r="W35" s="15">
        <f>+U35+V35</f>
        <v>0</v>
      </c>
      <c r="X35" s="18">
        <v>0</v>
      </c>
      <c r="Y35" s="15">
        <f>+W35+X35</f>
        <v>0</v>
      </c>
      <c r="Z35" s="18">
        <v>0</v>
      </c>
      <c r="AA35" s="15">
        <f>+Y35+Z35</f>
        <v>0</v>
      </c>
      <c r="AB35" s="18">
        <v>1454302.72</v>
      </c>
      <c r="AC35" s="15">
        <f>+AA35+AB35</f>
        <v>1454302.72</v>
      </c>
      <c r="AD35" s="15"/>
    </row>
    <row r="36" spans="1:30" ht="15">
      <c r="A36" s="29"/>
      <c r="B36" s="66"/>
      <c r="D36" s="58"/>
      <c r="E36" s="5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5.75">
      <c r="A37" s="29"/>
      <c r="B37" s="69">
        <v>1400</v>
      </c>
      <c r="C37" s="67" t="s">
        <v>171</v>
      </c>
      <c r="D37" s="92">
        <f>SUM(D38:D42)</f>
        <v>12698605.039999997</v>
      </c>
      <c r="E37" s="92">
        <f>SUM(E38:E42)</f>
        <v>12387178.34</v>
      </c>
      <c r="F37" s="92">
        <f aca="true" t="shared" si="8" ref="F37:AC37">SUM(F38:F42)</f>
        <v>1010620.8</v>
      </c>
      <c r="G37" s="92">
        <f t="shared" si="8"/>
        <v>1010620.8</v>
      </c>
      <c r="H37" s="92">
        <f>SUM(H38:H42)</f>
        <v>995244.94</v>
      </c>
      <c r="I37" s="92">
        <f t="shared" si="8"/>
        <v>2005865.74</v>
      </c>
      <c r="J37" s="92">
        <f>SUM(J38:J42)</f>
        <v>1091378.85</v>
      </c>
      <c r="K37" s="92">
        <f t="shared" si="8"/>
        <v>3097244.59</v>
      </c>
      <c r="L37" s="92">
        <f t="shared" si="8"/>
        <v>1048319.03</v>
      </c>
      <c r="M37" s="92">
        <f t="shared" si="8"/>
        <v>4145563.62</v>
      </c>
      <c r="N37" s="92">
        <f>SUM(N38:N42)</f>
        <v>1101624.75</v>
      </c>
      <c r="O37" s="92">
        <f t="shared" si="8"/>
        <v>5247188.37</v>
      </c>
      <c r="P37" s="92">
        <f>SUM(P38:P42)</f>
        <v>1059110.04</v>
      </c>
      <c r="Q37" s="92">
        <f t="shared" si="8"/>
        <v>6306298.41</v>
      </c>
      <c r="R37" s="92">
        <f>SUM(R38:R42)</f>
        <v>1052852.51</v>
      </c>
      <c r="S37" s="92">
        <f t="shared" si="8"/>
        <v>7359150.92</v>
      </c>
      <c r="T37" s="92">
        <f t="shared" si="8"/>
        <v>1064342.71</v>
      </c>
      <c r="U37" s="92">
        <f t="shared" si="8"/>
        <v>8423493.629999999</v>
      </c>
      <c r="V37" s="92">
        <f>SUM(V38:V42)</f>
        <v>1123336.81</v>
      </c>
      <c r="W37" s="92">
        <f t="shared" si="8"/>
        <v>9546830.44</v>
      </c>
      <c r="X37" s="92">
        <f>SUM(X38:X42)</f>
        <v>1066177.08</v>
      </c>
      <c r="Y37" s="92">
        <f t="shared" si="8"/>
        <v>10613007.52</v>
      </c>
      <c r="Z37" s="92">
        <f t="shared" si="8"/>
        <v>1063738.19</v>
      </c>
      <c r="AA37" s="92">
        <f t="shared" si="8"/>
        <v>11676745.709999999</v>
      </c>
      <c r="AB37" s="92">
        <f>SUM(AB38:AB42)</f>
        <v>710432.63</v>
      </c>
      <c r="AC37" s="92">
        <f t="shared" si="8"/>
        <v>12387178.34</v>
      </c>
      <c r="AD37" s="15"/>
    </row>
    <row r="38" spans="1:30" ht="15">
      <c r="A38" s="29"/>
      <c r="B38" s="57">
        <v>1411</v>
      </c>
      <c r="C38" s="14" t="s">
        <v>93</v>
      </c>
      <c r="D38" s="94">
        <f>+PRESUPACUM!D38</f>
        <v>4237610.76</v>
      </c>
      <c r="E38" s="94">
        <f>+PRESUPACUM!E38</f>
        <v>4322673.909999999</v>
      </c>
      <c r="F38" s="72">
        <v>340587.84</v>
      </c>
      <c r="G38" s="59">
        <f>+F38</f>
        <v>340587.84</v>
      </c>
      <c r="H38" s="72">
        <v>342533.56</v>
      </c>
      <c r="I38" s="15">
        <f>+G38+H38</f>
        <v>683121.4</v>
      </c>
      <c r="J38" s="72">
        <v>336511.96</v>
      </c>
      <c r="K38" s="15">
        <f>+I38+J38</f>
        <v>1019633.3600000001</v>
      </c>
      <c r="L38" s="72">
        <v>381746.38</v>
      </c>
      <c r="M38" s="15">
        <f>+K38+L38</f>
        <v>1401379.7400000002</v>
      </c>
      <c r="N38" s="72">
        <v>353505.21</v>
      </c>
      <c r="O38" s="15">
        <f>+M38+N38</f>
        <v>1754884.9500000002</v>
      </c>
      <c r="P38" s="72">
        <v>356233.43</v>
      </c>
      <c r="Q38" s="15">
        <f>+O38+P38</f>
        <v>2111118.3800000004</v>
      </c>
      <c r="R38" s="72">
        <v>356545.6</v>
      </c>
      <c r="S38" s="15">
        <f>+Q38+R38</f>
        <v>2467663.9800000004</v>
      </c>
      <c r="T38" s="72">
        <v>359943.76</v>
      </c>
      <c r="U38" s="15">
        <f>+S38+T38</f>
        <v>2827607.74</v>
      </c>
      <c r="V38" s="72">
        <v>416460.59</v>
      </c>
      <c r="W38" s="15">
        <f>+U38+V38</f>
        <v>3244068.33</v>
      </c>
      <c r="X38" s="72">
        <v>361149.15</v>
      </c>
      <c r="Y38" s="15">
        <f>+W38+X38</f>
        <v>3605217.48</v>
      </c>
      <c r="Z38" s="72">
        <v>360220.41</v>
      </c>
      <c r="AA38" s="15">
        <f>+Y38+Z38</f>
        <v>3965437.89</v>
      </c>
      <c r="AB38" s="72">
        <v>357236.02</v>
      </c>
      <c r="AC38" s="15">
        <f>+AA38+AB38</f>
        <v>4322673.91</v>
      </c>
      <c r="AD38" s="15"/>
    </row>
    <row r="39" spans="1:30" ht="15">
      <c r="A39" s="29"/>
      <c r="B39" s="57">
        <v>1421</v>
      </c>
      <c r="C39" s="14" t="s">
        <v>94</v>
      </c>
      <c r="D39" s="58">
        <f>+PRESUPACUM!D39</f>
        <v>1611870.9599999995</v>
      </c>
      <c r="E39" s="58">
        <f>+PRESUPACUM!E39</f>
        <v>1625187.32</v>
      </c>
      <c r="F39" s="18">
        <v>129684.22</v>
      </c>
      <c r="G39" s="59">
        <f>+F39</f>
        <v>129684.22</v>
      </c>
      <c r="H39" s="18">
        <v>130421.78</v>
      </c>
      <c r="I39" s="15">
        <f>+G39+H39</f>
        <v>260106</v>
      </c>
      <c r="J39" s="18">
        <v>128132.7</v>
      </c>
      <c r="K39" s="15">
        <f>+I39+J39</f>
        <v>388238.7</v>
      </c>
      <c r="L39" s="18">
        <v>145332.75</v>
      </c>
      <c r="M39" s="15">
        <f>+K39+L39</f>
        <v>533571.45</v>
      </c>
      <c r="N39" s="18">
        <v>134592.06</v>
      </c>
      <c r="O39" s="15">
        <f>+M39+N39</f>
        <v>668163.51</v>
      </c>
      <c r="P39" s="18">
        <v>135617.7</v>
      </c>
      <c r="Q39" s="15">
        <f>+O39+P39</f>
        <v>803781.21</v>
      </c>
      <c r="R39" s="18">
        <v>135735.31</v>
      </c>
      <c r="S39" s="15">
        <f>+Q39+R39</f>
        <v>939516.52</v>
      </c>
      <c r="T39" s="18">
        <v>137026.71</v>
      </c>
      <c r="U39" s="15">
        <f>+S39+T39</f>
        <v>1076543.23</v>
      </c>
      <c r="V39" s="18">
        <v>138028.73</v>
      </c>
      <c r="W39" s="15">
        <f>+U39+V39</f>
        <v>1214571.96</v>
      </c>
      <c r="X39" s="18">
        <v>137486.6</v>
      </c>
      <c r="Y39" s="15">
        <f>+W39+X39</f>
        <v>1352058.56</v>
      </c>
      <c r="Z39" s="18">
        <v>137134.72</v>
      </c>
      <c r="AA39" s="15">
        <f>+Y39+Z39</f>
        <v>1489193.28</v>
      </c>
      <c r="AB39" s="18">
        <v>135994.04</v>
      </c>
      <c r="AC39" s="15">
        <f>+AA39+AB39</f>
        <v>1625187.32</v>
      </c>
      <c r="AD39" s="15"/>
    </row>
    <row r="40" spans="1:30" ht="15">
      <c r="A40" s="29"/>
      <c r="B40" s="57">
        <v>1431</v>
      </c>
      <c r="C40" s="14" t="s">
        <v>95</v>
      </c>
      <c r="D40" s="58">
        <f>+PRESUPACUM!D40</f>
        <v>1544990.0399999993</v>
      </c>
      <c r="E40" s="58">
        <f>+PRESUPACUM!E40</f>
        <v>1482726.58</v>
      </c>
      <c r="F40" s="18">
        <v>119927.5</v>
      </c>
      <c r="G40" s="59">
        <f>+F40</f>
        <v>119927.5</v>
      </c>
      <c r="H40" s="18">
        <v>123060.07</v>
      </c>
      <c r="I40" s="15">
        <f>+G40+H40</f>
        <v>242987.57</v>
      </c>
      <c r="J40" s="18">
        <v>120351.66</v>
      </c>
      <c r="K40" s="15">
        <f>+I40+J40</f>
        <v>363339.23</v>
      </c>
      <c r="L40" s="18">
        <v>126071.44</v>
      </c>
      <c r="M40" s="15">
        <f>+K40+L40</f>
        <v>489410.67</v>
      </c>
      <c r="N40" s="18">
        <v>124673.74</v>
      </c>
      <c r="O40" s="15">
        <f>+M40+N40</f>
        <v>614084.41</v>
      </c>
      <c r="P40" s="18">
        <v>125247.81</v>
      </c>
      <c r="Q40" s="15">
        <f>+O40+P40</f>
        <v>739332.22</v>
      </c>
      <c r="R40" s="18">
        <v>118560.5</v>
      </c>
      <c r="S40" s="15">
        <f>+Q40+R40</f>
        <v>857892.72</v>
      </c>
      <c r="T40" s="18">
        <v>125361.14</v>
      </c>
      <c r="U40" s="15">
        <f>+S40+T40</f>
        <v>983253.86</v>
      </c>
      <c r="V40" s="18">
        <v>126836.39</v>
      </c>
      <c r="W40" s="15">
        <f>+U40+V40</f>
        <v>1110090.25</v>
      </c>
      <c r="X40" s="18">
        <v>125530.23</v>
      </c>
      <c r="Y40" s="15">
        <f>+W40+X40</f>
        <v>1235620.48</v>
      </c>
      <c r="Z40" s="18">
        <v>124371.96</v>
      </c>
      <c r="AA40" s="15">
        <f>+Y40+Z40</f>
        <v>1359992.44</v>
      </c>
      <c r="AB40" s="18">
        <v>122734.14</v>
      </c>
      <c r="AC40" s="15">
        <f>+AA40+AB40</f>
        <v>1482726.5799999998</v>
      </c>
      <c r="AD40" s="15"/>
    </row>
    <row r="41" spans="1:30" ht="15">
      <c r="A41" s="29"/>
      <c r="B41" s="57">
        <v>1441</v>
      </c>
      <c r="C41" s="23" t="s">
        <v>96</v>
      </c>
      <c r="D41" s="58">
        <f>+PRESUPACUM!D41</f>
        <v>477147.44999999995</v>
      </c>
      <c r="E41" s="58">
        <f>+PRESUPACUM!E41</f>
        <v>477147.43</v>
      </c>
      <c r="F41" s="18">
        <v>39762.28</v>
      </c>
      <c r="G41" s="59">
        <f>+F41</f>
        <v>39762.28</v>
      </c>
      <c r="H41" s="18">
        <v>39762.28</v>
      </c>
      <c r="I41" s="15">
        <f>+G41+H41</f>
        <v>79524.56</v>
      </c>
      <c r="J41" s="18">
        <v>39762.28</v>
      </c>
      <c r="K41" s="15">
        <f>+I41+J41</f>
        <v>119286.84</v>
      </c>
      <c r="L41" s="18">
        <v>39762.28</v>
      </c>
      <c r="M41" s="15">
        <f>+K41+L41</f>
        <v>159049.12</v>
      </c>
      <c r="N41" s="18">
        <v>39762.28</v>
      </c>
      <c r="O41" s="15">
        <f>+M41+N41</f>
        <v>198811.4</v>
      </c>
      <c r="P41" s="18">
        <v>39762.28</v>
      </c>
      <c r="Q41" s="15">
        <f>+O41+P41</f>
        <v>238573.68</v>
      </c>
      <c r="R41" s="18">
        <v>39762.28</v>
      </c>
      <c r="S41" s="15">
        <f>+Q41+R41</f>
        <v>278335.95999999996</v>
      </c>
      <c r="T41" s="18">
        <v>39762.28</v>
      </c>
      <c r="U41" s="15">
        <f>+S41+T41</f>
        <v>318098.24</v>
      </c>
      <c r="V41" s="18">
        <v>39762.28</v>
      </c>
      <c r="W41" s="15">
        <f>+U41+V41</f>
        <v>357860.52</v>
      </c>
      <c r="X41" s="18">
        <v>39762.28</v>
      </c>
      <c r="Y41" s="15">
        <f>+W41+X41</f>
        <v>397622.80000000005</v>
      </c>
      <c r="Z41" s="18">
        <v>39762.28</v>
      </c>
      <c r="AA41" s="15">
        <f>+Y41+Z41</f>
        <v>437385.0800000001</v>
      </c>
      <c r="AB41" s="18">
        <v>39762.35</v>
      </c>
      <c r="AC41" s="15">
        <f>+AA41+AB41</f>
        <v>477147.43000000005</v>
      </c>
      <c r="AD41" s="15"/>
    </row>
    <row r="42" spans="1:30" ht="15">
      <c r="A42" s="29"/>
      <c r="B42" s="57">
        <v>1449</v>
      </c>
      <c r="C42" s="23" t="s">
        <v>216</v>
      </c>
      <c r="D42" s="58">
        <f>+PRESUPACUM!D42</f>
        <v>4826985.829999999</v>
      </c>
      <c r="E42" s="58">
        <f>+PRESUPACUM!E42</f>
        <v>4479443.1</v>
      </c>
      <c r="F42" s="18">
        <f>402248.82-21589.86</f>
        <v>380658.96</v>
      </c>
      <c r="G42" s="59">
        <f>+F42</f>
        <v>380658.96</v>
      </c>
      <c r="H42" s="18">
        <f>402248.82-42781.57</f>
        <v>359467.25</v>
      </c>
      <c r="I42" s="15">
        <f>+G42+H42</f>
        <v>740126.21</v>
      </c>
      <c r="J42" s="18">
        <f>515524.17-48903.92</f>
        <v>466620.25</v>
      </c>
      <c r="K42" s="15">
        <f>+I42+J42</f>
        <v>1206746.46</v>
      </c>
      <c r="L42" s="18">
        <f>402248.82-46842.64</f>
        <v>355406.18</v>
      </c>
      <c r="M42" s="15">
        <f>+K42+L42</f>
        <v>1562152.64</v>
      </c>
      <c r="N42" s="18">
        <f>472501.8-23410.34</f>
        <v>449091.45999999996</v>
      </c>
      <c r="O42" s="15">
        <f>+M42+N42</f>
        <v>2011244.0999999999</v>
      </c>
      <c r="P42" s="18">
        <v>402248.82</v>
      </c>
      <c r="Q42" s="15">
        <f>+O42+P42</f>
        <v>2413492.92</v>
      </c>
      <c r="R42" s="18">
        <v>402248.82</v>
      </c>
      <c r="S42" s="15">
        <f>+Q42+R42</f>
        <v>2815741.7399999998</v>
      </c>
      <c r="T42" s="18">
        <v>402248.82</v>
      </c>
      <c r="U42" s="15">
        <f>+S42+T42</f>
        <v>3217990.5599999996</v>
      </c>
      <c r="V42" s="18">
        <v>402248.82</v>
      </c>
      <c r="W42" s="15">
        <f>+U42+V42</f>
        <v>3620239.3799999994</v>
      </c>
      <c r="X42" s="18">
        <v>402248.82</v>
      </c>
      <c r="Y42" s="15">
        <f>+W42+X42</f>
        <v>4022488.1999999993</v>
      </c>
      <c r="Z42" s="18">
        <v>402248.82</v>
      </c>
      <c r="AA42" s="15">
        <f>+Y42+Z42</f>
        <v>4424737.02</v>
      </c>
      <c r="AB42" s="96">
        <v>54706.08</v>
      </c>
      <c r="AC42" s="15">
        <f>+AA42+AB42</f>
        <v>4479443.1</v>
      </c>
      <c r="AD42" s="15"/>
    </row>
    <row r="43" spans="1:30" ht="15">
      <c r="A43" s="29"/>
      <c r="B43" s="66"/>
      <c r="D43" s="58"/>
      <c r="E43" s="58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.75">
      <c r="A44" s="29"/>
      <c r="B44" s="69">
        <v>1500</v>
      </c>
      <c r="C44" s="67" t="s">
        <v>172</v>
      </c>
      <c r="D44" s="92">
        <f>SUM(D45:D50)</f>
        <v>118990162.68000004</v>
      </c>
      <c r="E44" s="92">
        <f>SUM(E45:E50)</f>
        <v>188018723.21</v>
      </c>
      <c r="F44" s="92">
        <f aca="true" t="shared" si="9" ref="F44:AC44">SUM(F45:F50)</f>
        <v>9348253.77</v>
      </c>
      <c r="G44" s="92">
        <f t="shared" si="9"/>
        <v>9348253.77</v>
      </c>
      <c r="H44" s="92">
        <f>SUM(H45:H50)</f>
        <v>9346644.88</v>
      </c>
      <c r="I44" s="92">
        <f t="shared" si="9"/>
        <v>18694898.65</v>
      </c>
      <c r="J44" s="92">
        <f>SUM(J45:J50)</f>
        <v>9020416.4</v>
      </c>
      <c r="K44" s="92">
        <f t="shared" si="9"/>
        <v>27715315.05</v>
      </c>
      <c r="L44" s="92">
        <f t="shared" si="9"/>
        <v>10339995.64</v>
      </c>
      <c r="M44" s="92">
        <f t="shared" si="9"/>
        <v>38055310.69</v>
      </c>
      <c r="N44" s="92">
        <f>SUM(N45:N50)</f>
        <v>36127477.660000004</v>
      </c>
      <c r="O44" s="92">
        <f t="shared" si="9"/>
        <v>74182788.35</v>
      </c>
      <c r="P44" s="92">
        <f>SUM(P45:P50)</f>
        <v>17996396.5</v>
      </c>
      <c r="Q44" s="92">
        <f t="shared" si="9"/>
        <v>92179184.85</v>
      </c>
      <c r="R44" s="92">
        <f>SUM(R45:R50)</f>
        <v>9990014.879999999</v>
      </c>
      <c r="S44" s="92">
        <f t="shared" si="9"/>
        <v>102169199.73</v>
      </c>
      <c r="T44" s="92">
        <f t="shared" si="9"/>
        <v>10110406.969999999</v>
      </c>
      <c r="U44" s="92">
        <f t="shared" si="9"/>
        <v>112279606.69999999</v>
      </c>
      <c r="V44" s="92">
        <f>SUM(V45:V50)</f>
        <v>18283505.59</v>
      </c>
      <c r="W44" s="92">
        <f t="shared" si="9"/>
        <v>130563112.28999999</v>
      </c>
      <c r="X44" s="92">
        <f>SUM(X45:X50)</f>
        <v>17540263.67</v>
      </c>
      <c r="Y44" s="92">
        <f t="shared" si="9"/>
        <v>148103375.96</v>
      </c>
      <c r="Z44" s="92">
        <f t="shared" si="9"/>
        <v>21658947.89</v>
      </c>
      <c r="AA44" s="92">
        <f t="shared" si="9"/>
        <v>169762323.85</v>
      </c>
      <c r="AB44" s="92">
        <f>SUM(AB45:AB50)</f>
        <v>18256399.35</v>
      </c>
      <c r="AC44" s="92">
        <f t="shared" si="9"/>
        <v>188018723.2</v>
      </c>
      <c r="AD44" s="15"/>
    </row>
    <row r="45" spans="1:36" ht="15">
      <c r="A45" s="29"/>
      <c r="B45" s="57">
        <v>1511</v>
      </c>
      <c r="C45" s="26" t="s">
        <v>97</v>
      </c>
      <c r="D45" s="93">
        <f>+PRESUPACUM!D45</f>
        <v>14464494.6</v>
      </c>
      <c r="E45" s="93">
        <f>+PRESUPACUM!E45</f>
        <v>14017624.88</v>
      </c>
      <c r="F45" s="17">
        <v>1119700.42</v>
      </c>
      <c r="G45" s="59">
        <f aca="true" t="shared" si="10" ref="G45:G50">+F45</f>
        <v>1119700.42</v>
      </c>
      <c r="H45" s="17">
        <v>1121495.34</v>
      </c>
      <c r="I45" s="15">
        <f aca="true" t="shared" si="11" ref="I45:I50">+G45+H45</f>
        <v>2241195.76</v>
      </c>
      <c r="J45" s="17">
        <v>1100270.7</v>
      </c>
      <c r="K45" s="15">
        <f aca="true" t="shared" si="12" ref="K45:K50">+I45+J45</f>
        <v>3341466.46</v>
      </c>
      <c r="L45" s="17">
        <v>1229244.23</v>
      </c>
      <c r="M45" s="15">
        <f aca="true" t="shared" si="13" ref="M45:M50">+K45+L45</f>
        <v>4570710.6899999995</v>
      </c>
      <c r="N45" s="17">
        <v>1140396.03</v>
      </c>
      <c r="O45" s="15">
        <f aca="true" t="shared" si="14" ref="O45:O50">+M45+N45</f>
        <v>5711106.72</v>
      </c>
      <c r="P45" s="17">
        <v>1170714.54</v>
      </c>
      <c r="Q45" s="15">
        <f aca="true" t="shared" si="15" ref="Q45:Q50">+O45+P45</f>
        <v>6881821.26</v>
      </c>
      <c r="R45" s="17">
        <v>1174016.88</v>
      </c>
      <c r="S45" s="15">
        <f aca="true" t="shared" si="16" ref="S45:S50">+Q45+R45</f>
        <v>8055838.14</v>
      </c>
      <c r="T45" s="17">
        <v>1189689.06</v>
      </c>
      <c r="U45" s="15">
        <f aca="true" t="shared" si="17" ref="U45:U50">+S45+T45</f>
        <v>9245527.2</v>
      </c>
      <c r="V45" s="17">
        <v>1203477.5</v>
      </c>
      <c r="W45" s="15">
        <f aca="true" t="shared" si="18" ref="W45:W50">+U45+V45</f>
        <v>10449004.7</v>
      </c>
      <c r="X45" s="17">
        <v>1196013.29</v>
      </c>
      <c r="Y45" s="15">
        <f aca="true" t="shared" si="19" ref="Y45:Y50">+W45+X45</f>
        <v>11645017.989999998</v>
      </c>
      <c r="Z45" s="17">
        <v>1189471.79</v>
      </c>
      <c r="AA45" s="15">
        <f aca="true" t="shared" si="20" ref="AA45:AA50">+Y45+Z45</f>
        <v>12834489.779999997</v>
      </c>
      <c r="AB45" s="17">
        <v>1183135.1</v>
      </c>
      <c r="AC45" s="15">
        <f aca="true" t="shared" si="21" ref="AC45:AC50">+AA45+AB45</f>
        <v>14017624.879999997</v>
      </c>
      <c r="AD45" s="15"/>
      <c r="AH45" s="40"/>
      <c r="AJ45" s="40"/>
    </row>
    <row r="46" spans="1:36" ht="15">
      <c r="A46" s="29"/>
      <c r="B46" s="57">
        <v>1521</v>
      </c>
      <c r="C46" s="26" t="s">
        <v>101</v>
      </c>
      <c r="D46" s="93">
        <f>+PRESUPACUM!D46</f>
        <v>0</v>
      </c>
      <c r="E46" s="93">
        <f>+PRESUPACUM!E46</f>
        <v>19066968.78</v>
      </c>
      <c r="F46" s="17">
        <v>0</v>
      </c>
      <c r="G46" s="59">
        <f t="shared" si="10"/>
        <v>0</v>
      </c>
      <c r="H46" s="17">
        <v>0</v>
      </c>
      <c r="I46" s="15">
        <f t="shared" si="11"/>
        <v>0</v>
      </c>
      <c r="J46" s="17">
        <v>0</v>
      </c>
      <c r="K46" s="15">
        <f t="shared" si="12"/>
        <v>0</v>
      </c>
      <c r="L46" s="17">
        <v>0</v>
      </c>
      <c r="M46" s="15">
        <f t="shared" si="13"/>
        <v>0</v>
      </c>
      <c r="N46" s="17">
        <v>18310718.93</v>
      </c>
      <c r="O46" s="15">
        <f t="shared" si="14"/>
        <v>18310718.93</v>
      </c>
      <c r="P46" s="17">
        <v>0</v>
      </c>
      <c r="Q46" s="15">
        <f t="shared" si="15"/>
        <v>18310718.93</v>
      </c>
      <c r="R46" s="17">
        <v>0</v>
      </c>
      <c r="S46" s="15">
        <f t="shared" si="16"/>
        <v>18310718.93</v>
      </c>
      <c r="T46" s="17">
        <v>0</v>
      </c>
      <c r="U46" s="15">
        <f t="shared" si="17"/>
        <v>18310718.93</v>
      </c>
      <c r="V46" s="17">
        <v>0</v>
      </c>
      <c r="W46" s="15">
        <f t="shared" si="18"/>
        <v>18310718.93</v>
      </c>
      <c r="X46" s="17">
        <v>0</v>
      </c>
      <c r="Y46" s="15">
        <f t="shared" si="19"/>
        <v>18310718.93</v>
      </c>
      <c r="Z46" s="17">
        <v>0</v>
      </c>
      <c r="AA46" s="15">
        <f t="shared" si="20"/>
        <v>18310718.93</v>
      </c>
      <c r="AB46" s="17">
        <v>756249.85</v>
      </c>
      <c r="AC46" s="15">
        <f t="shared" si="21"/>
        <v>19066968.78</v>
      </c>
      <c r="AD46" s="15"/>
      <c r="AH46" s="40"/>
      <c r="AJ46" s="40"/>
    </row>
    <row r="47" spans="1:36" ht="15">
      <c r="A47" s="29"/>
      <c r="B47" s="57">
        <v>1541</v>
      </c>
      <c r="C47" s="26" t="s">
        <v>102</v>
      </c>
      <c r="D47" s="93">
        <f>+PRESUPACUM!D47</f>
        <v>4176000</v>
      </c>
      <c r="E47" s="93">
        <f>+PRESUPACUM!E47</f>
        <v>5407507</v>
      </c>
      <c r="F47" s="17">
        <v>333750</v>
      </c>
      <c r="G47" s="59">
        <f t="shared" si="10"/>
        <v>333750</v>
      </c>
      <c r="H47" s="17">
        <v>338950</v>
      </c>
      <c r="I47" s="15">
        <f t="shared" si="11"/>
        <v>672700</v>
      </c>
      <c r="J47" s="17">
        <v>329900</v>
      </c>
      <c r="K47" s="15">
        <f t="shared" si="12"/>
        <v>1002600</v>
      </c>
      <c r="L47" s="17">
        <v>478087</v>
      </c>
      <c r="M47" s="15">
        <f t="shared" si="13"/>
        <v>1480687</v>
      </c>
      <c r="N47" s="17">
        <v>486910</v>
      </c>
      <c r="O47" s="15">
        <f t="shared" si="14"/>
        <v>1967597</v>
      </c>
      <c r="P47" s="17">
        <v>489615</v>
      </c>
      <c r="Q47" s="15">
        <f t="shared" si="15"/>
        <v>2457212</v>
      </c>
      <c r="R47" s="17">
        <v>488662</v>
      </c>
      <c r="S47" s="15">
        <f t="shared" si="16"/>
        <v>2945874</v>
      </c>
      <c r="T47" s="17">
        <v>492166</v>
      </c>
      <c r="U47" s="15">
        <f t="shared" si="17"/>
        <v>3438040</v>
      </c>
      <c r="V47" s="17">
        <v>493772</v>
      </c>
      <c r="W47" s="15">
        <f t="shared" si="18"/>
        <v>3931812</v>
      </c>
      <c r="X47" s="17">
        <v>493480</v>
      </c>
      <c r="Y47" s="15">
        <f t="shared" si="19"/>
        <v>4425292</v>
      </c>
      <c r="Z47" s="17">
        <v>493845</v>
      </c>
      <c r="AA47" s="15">
        <f t="shared" si="20"/>
        <v>4919137</v>
      </c>
      <c r="AB47" s="17">
        <v>488370</v>
      </c>
      <c r="AC47" s="15">
        <f t="shared" si="21"/>
        <v>5407507</v>
      </c>
      <c r="AD47" s="15"/>
      <c r="AH47" s="40"/>
      <c r="AJ47" s="40"/>
    </row>
    <row r="48" spans="1:36" ht="15">
      <c r="A48" s="29"/>
      <c r="B48" s="57">
        <v>1542</v>
      </c>
      <c r="C48" s="26" t="s">
        <v>225</v>
      </c>
      <c r="D48" s="93">
        <f>+PRESUPACUM!D48</f>
        <v>0</v>
      </c>
      <c r="E48" s="93">
        <f>+PRESUPACUM!E48</f>
        <v>0</v>
      </c>
      <c r="F48" s="17">
        <v>0</v>
      </c>
      <c r="G48" s="59">
        <f t="shared" si="10"/>
        <v>0</v>
      </c>
      <c r="H48" s="17">
        <v>0</v>
      </c>
      <c r="I48" s="15">
        <f t="shared" si="11"/>
        <v>0</v>
      </c>
      <c r="J48" s="17">
        <v>0</v>
      </c>
      <c r="K48" s="15">
        <f t="shared" si="12"/>
        <v>0</v>
      </c>
      <c r="L48" s="17">
        <v>0</v>
      </c>
      <c r="M48" s="15">
        <f t="shared" si="13"/>
        <v>0</v>
      </c>
      <c r="N48" s="17">
        <v>0</v>
      </c>
      <c r="O48" s="15">
        <f t="shared" si="14"/>
        <v>0</v>
      </c>
      <c r="P48" s="17">
        <v>0</v>
      </c>
      <c r="Q48" s="15">
        <f t="shared" si="15"/>
        <v>0</v>
      </c>
      <c r="R48" s="17">
        <v>0</v>
      </c>
      <c r="S48" s="15">
        <f t="shared" si="16"/>
        <v>0</v>
      </c>
      <c r="T48" s="17">
        <v>0</v>
      </c>
      <c r="U48" s="15">
        <f t="shared" si="17"/>
        <v>0</v>
      </c>
      <c r="V48" s="17">
        <v>0</v>
      </c>
      <c r="W48" s="15">
        <f t="shared" si="18"/>
        <v>0</v>
      </c>
      <c r="X48" s="17">
        <v>0</v>
      </c>
      <c r="Y48" s="15">
        <f t="shared" si="19"/>
        <v>0</v>
      </c>
      <c r="Z48" s="17">
        <v>0</v>
      </c>
      <c r="AA48" s="15">
        <f t="shared" si="20"/>
        <v>0</v>
      </c>
      <c r="AB48" s="17">
        <v>0</v>
      </c>
      <c r="AC48" s="15">
        <f t="shared" si="21"/>
        <v>0</v>
      </c>
      <c r="AD48" s="15"/>
      <c r="AH48" s="40"/>
      <c r="AJ48" s="40"/>
    </row>
    <row r="49" spans="1:30" ht="15">
      <c r="A49" s="29"/>
      <c r="B49" s="57">
        <v>1544</v>
      </c>
      <c r="C49" s="14" t="s">
        <v>98</v>
      </c>
      <c r="D49" s="58">
        <f>+PRESUPACUM!D49</f>
        <v>3791896.920000001</v>
      </c>
      <c r="E49" s="58">
        <f>+PRESUPACUM!E49</f>
        <v>15900864.8</v>
      </c>
      <c r="F49" s="18">
        <v>713786.54</v>
      </c>
      <c r="G49" s="59">
        <f t="shared" si="10"/>
        <v>713786.54</v>
      </c>
      <c r="H49" s="18">
        <v>711721.92</v>
      </c>
      <c r="I49" s="15">
        <f t="shared" si="11"/>
        <v>1425508.46</v>
      </c>
      <c r="J49" s="18">
        <v>698344.94</v>
      </c>
      <c r="K49" s="15">
        <f t="shared" si="12"/>
        <v>2123853.4</v>
      </c>
      <c r="L49" s="18">
        <v>823708.04</v>
      </c>
      <c r="M49" s="15">
        <f t="shared" si="13"/>
        <v>2947561.44</v>
      </c>
      <c r="N49" s="18">
        <v>2421496.23</v>
      </c>
      <c r="O49" s="15">
        <f t="shared" si="14"/>
        <v>5369057.67</v>
      </c>
      <c r="P49" s="18">
        <v>1926542.67</v>
      </c>
      <c r="Q49" s="15">
        <f t="shared" si="15"/>
        <v>7295600.34</v>
      </c>
      <c r="R49" s="18">
        <v>753675.11</v>
      </c>
      <c r="S49" s="15">
        <f t="shared" si="16"/>
        <v>8049275.45</v>
      </c>
      <c r="T49" s="18">
        <v>751607.24</v>
      </c>
      <c r="U49" s="15">
        <f t="shared" si="17"/>
        <v>8800882.69</v>
      </c>
      <c r="V49" s="18">
        <v>1691276.25</v>
      </c>
      <c r="W49" s="15">
        <f t="shared" si="18"/>
        <v>10492158.94</v>
      </c>
      <c r="X49" s="18">
        <v>1617119.66</v>
      </c>
      <c r="Y49" s="15">
        <f t="shared" si="19"/>
        <v>12109278.6</v>
      </c>
      <c r="Z49" s="18">
        <v>2143281.47</v>
      </c>
      <c r="AA49" s="15">
        <f t="shared" si="20"/>
        <v>14252560.07</v>
      </c>
      <c r="AB49" s="18">
        <v>1648304.73</v>
      </c>
      <c r="AC49" s="15">
        <f t="shared" si="21"/>
        <v>15900864.8</v>
      </c>
      <c r="AD49" s="15"/>
    </row>
    <row r="50" spans="1:30" ht="15">
      <c r="A50" s="29"/>
      <c r="B50" s="57">
        <v>1591</v>
      </c>
      <c r="C50" s="14" t="s">
        <v>99</v>
      </c>
      <c r="D50" s="58">
        <f>+PRESUPACUM!D50</f>
        <v>96557771.16000004</v>
      </c>
      <c r="E50" s="58">
        <f>+PRESUPACUM!E50</f>
        <v>133625757.75</v>
      </c>
      <c r="F50" s="18">
        <v>7181016.81</v>
      </c>
      <c r="G50" s="59">
        <f t="shared" si="10"/>
        <v>7181016.81</v>
      </c>
      <c r="H50" s="18">
        <v>7174477.62</v>
      </c>
      <c r="I50" s="15">
        <f t="shared" si="11"/>
        <v>14355494.43</v>
      </c>
      <c r="J50" s="18">
        <f>7005176.11-113275.35</f>
        <v>6891900.760000001</v>
      </c>
      <c r="K50" s="15">
        <f t="shared" si="12"/>
        <v>21247395.19</v>
      </c>
      <c r="L50" s="18">
        <v>7808956.37</v>
      </c>
      <c r="M50" s="15">
        <f t="shared" si="13"/>
        <v>29056351.560000002</v>
      </c>
      <c r="N50" s="18">
        <v>13767956.47</v>
      </c>
      <c r="O50" s="15">
        <f t="shared" si="14"/>
        <v>42824308.03</v>
      </c>
      <c r="P50" s="18">
        <v>14409524.29</v>
      </c>
      <c r="Q50" s="15">
        <f t="shared" si="15"/>
        <v>57233832.32</v>
      </c>
      <c r="R50" s="18">
        <v>7573660.89</v>
      </c>
      <c r="S50" s="15">
        <f t="shared" si="16"/>
        <v>64807493.21</v>
      </c>
      <c r="T50" s="18">
        <v>7676944.67</v>
      </c>
      <c r="U50" s="15">
        <f t="shared" si="17"/>
        <v>72484437.88</v>
      </c>
      <c r="V50" s="18">
        <v>14894979.84</v>
      </c>
      <c r="W50" s="15">
        <f t="shared" si="18"/>
        <v>87379417.72</v>
      </c>
      <c r="X50" s="18">
        <v>14233650.72</v>
      </c>
      <c r="Y50" s="15">
        <f t="shared" si="19"/>
        <v>101613068.44</v>
      </c>
      <c r="Z50" s="18">
        <v>17832349.63</v>
      </c>
      <c r="AA50" s="15">
        <f t="shared" si="20"/>
        <v>119445418.07</v>
      </c>
      <c r="AB50" s="18">
        <v>14180339.67</v>
      </c>
      <c r="AC50" s="15">
        <f t="shared" si="21"/>
        <v>133625757.74</v>
      </c>
      <c r="AD50" s="15"/>
    </row>
    <row r="51" spans="1:30" ht="15">
      <c r="A51" s="29"/>
      <c r="B51" s="57"/>
      <c r="C51" s="14"/>
      <c r="D51" s="58"/>
      <c r="E51" s="58"/>
      <c r="F51" s="18"/>
      <c r="G51" s="59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8"/>
      <c r="AA51" s="15"/>
      <c r="AB51" s="18"/>
      <c r="AC51" s="15"/>
      <c r="AD51" s="15"/>
    </row>
    <row r="52" spans="2:29" ht="15.75">
      <c r="B52" s="16"/>
      <c r="C52" s="25"/>
      <c r="D52" s="58"/>
      <c r="E52" s="58"/>
      <c r="F52" s="15"/>
      <c r="G52" s="20"/>
      <c r="H52" s="15"/>
      <c r="I52" s="20"/>
      <c r="J52" s="15"/>
      <c r="K52" s="20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2:29" ht="16.5" thickBot="1">
      <c r="B53" s="75">
        <v>2000</v>
      </c>
      <c r="C53" s="127" t="s">
        <v>36</v>
      </c>
      <c r="D53" s="62">
        <f>+D55+D63+D67+D78+D86+D89+D95</f>
        <v>5145578.69</v>
      </c>
      <c r="E53" s="62">
        <f aca="true" t="shared" si="22" ref="E53:AC53">+E55+E63+E67+E78+E86+E89+E95</f>
        <v>2550945.1499999994</v>
      </c>
      <c r="F53" s="62">
        <f t="shared" si="22"/>
        <v>16965.5</v>
      </c>
      <c r="G53" s="62">
        <f t="shared" si="22"/>
        <v>16965.5</v>
      </c>
      <c r="H53" s="62">
        <f>+H55+H63+H67+H78+H86+H89+H95</f>
        <v>27931.399999999998</v>
      </c>
      <c r="I53" s="62">
        <f t="shared" si="22"/>
        <v>44896.9</v>
      </c>
      <c r="J53" s="62">
        <f>+J55+J63+J67+J78+J86+J89+J95</f>
        <v>79499.42</v>
      </c>
      <c r="K53" s="62">
        <f t="shared" si="22"/>
        <v>124396.31999999999</v>
      </c>
      <c r="L53" s="62">
        <f t="shared" si="22"/>
        <v>233865.58</v>
      </c>
      <c r="M53" s="62">
        <f t="shared" si="22"/>
        <v>358261.89999999997</v>
      </c>
      <c r="N53" s="62">
        <f>+N55+N63+N67+N78+N86+N89+N95</f>
        <v>42801.95999999999</v>
      </c>
      <c r="O53" s="62">
        <f t="shared" si="22"/>
        <v>401063.8599999999</v>
      </c>
      <c r="P53" s="62">
        <f>+P55+P63+P67+P78+P86+P89+P95</f>
        <v>751151.6100000001</v>
      </c>
      <c r="Q53" s="62">
        <f t="shared" si="22"/>
        <v>1152215.4700000002</v>
      </c>
      <c r="R53" s="62">
        <f>+R55+R63+R67+R78+R86+R89+R95</f>
        <v>66018.33</v>
      </c>
      <c r="S53" s="62">
        <f t="shared" si="22"/>
        <v>1218233.8</v>
      </c>
      <c r="T53" s="62">
        <f t="shared" si="22"/>
        <v>60343.969999999994</v>
      </c>
      <c r="U53" s="62">
        <f t="shared" si="22"/>
        <v>1278577.77</v>
      </c>
      <c r="V53" s="62">
        <f>+V55+V63+V67+V78+V86+V89+V95</f>
        <v>611685.3</v>
      </c>
      <c r="W53" s="62">
        <f t="shared" si="22"/>
        <v>1890263.07</v>
      </c>
      <c r="X53" s="62">
        <f>+X55+X63+X67+X78+X86+X89+X95</f>
        <v>180271.36999999997</v>
      </c>
      <c r="Y53" s="62">
        <f t="shared" si="22"/>
        <v>2070534.44</v>
      </c>
      <c r="Z53" s="62">
        <f t="shared" si="22"/>
        <v>126848.89</v>
      </c>
      <c r="AA53" s="62">
        <f t="shared" si="22"/>
        <v>2197383.3300000005</v>
      </c>
      <c r="AB53" s="62">
        <f>+AB55+AB63+AB67+AB78+AB86+AB89+AB95</f>
        <v>353561.81999999995</v>
      </c>
      <c r="AC53" s="62">
        <f t="shared" si="22"/>
        <v>2550945.1500000004</v>
      </c>
    </row>
    <row r="54" spans="2:29" ht="16.5" thickTop="1">
      <c r="B54" s="63"/>
      <c r="C54" s="25"/>
      <c r="D54" s="95"/>
      <c r="E54" s="9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5.75">
      <c r="B55" s="69">
        <v>2100</v>
      </c>
      <c r="C55" s="67" t="s">
        <v>173</v>
      </c>
      <c r="D55" s="92">
        <f aca="true" t="shared" si="23" ref="D55:AA55">SUM(D56:D61)</f>
        <v>2363066.1300000004</v>
      </c>
      <c r="E55" s="92">
        <f t="shared" si="23"/>
        <v>1606609.36</v>
      </c>
      <c r="F55" s="70">
        <f t="shared" si="23"/>
        <v>6965.5</v>
      </c>
      <c r="G55" s="70">
        <f t="shared" si="23"/>
        <v>6965.5</v>
      </c>
      <c r="H55" s="70">
        <f>SUM(H56:H61)</f>
        <v>8537.11</v>
      </c>
      <c r="I55" s="70">
        <f t="shared" si="23"/>
        <v>15502.61</v>
      </c>
      <c r="J55" s="70">
        <f>SUM(J56:J61)</f>
        <v>37088.130000000005</v>
      </c>
      <c r="K55" s="70">
        <f t="shared" si="23"/>
        <v>52590.740000000005</v>
      </c>
      <c r="L55" s="70">
        <f t="shared" si="23"/>
        <v>9446.81</v>
      </c>
      <c r="M55" s="70">
        <f t="shared" si="23"/>
        <v>62037.55</v>
      </c>
      <c r="N55" s="70">
        <f>SUM(N56:N61)</f>
        <v>25047.64</v>
      </c>
      <c r="O55" s="70">
        <f t="shared" si="23"/>
        <v>87085.19</v>
      </c>
      <c r="P55" s="70">
        <f>SUM(P56:P61)</f>
        <v>639887.63</v>
      </c>
      <c r="Q55" s="70">
        <f t="shared" si="23"/>
        <v>726972.82</v>
      </c>
      <c r="R55" s="70">
        <f>SUM(R56:R61)</f>
        <v>16360.199999999999</v>
      </c>
      <c r="S55" s="70">
        <f t="shared" si="23"/>
        <v>743333.02</v>
      </c>
      <c r="T55" s="70">
        <f t="shared" si="23"/>
        <v>9789.119999999999</v>
      </c>
      <c r="U55" s="70">
        <f t="shared" si="23"/>
        <v>753122.14</v>
      </c>
      <c r="V55" s="70">
        <f>SUM(V56:V61)</f>
        <v>557435.15</v>
      </c>
      <c r="W55" s="70">
        <f t="shared" si="23"/>
        <v>1310557.29</v>
      </c>
      <c r="X55" s="70">
        <f>SUM(X56:X61)</f>
        <v>109296.56999999999</v>
      </c>
      <c r="Y55" s="70">
        <f t="shared" si="23"/>
        <v>1419853.8599999999</v>
      </c>
      <c r="Z55" s="70">
        <f t="shared" si="23"/>
        <v>92819.39</v>
      </c>
      <c r="AA55" s="70">
        <f t="shared" si="23"/>
        <v>1512673.25</v>
      </c>
      <c r="AB55" s="70">
        <f>SUM(AB56:AB61)</f>
        <v>93936.10999999999</v>
      </c>
      <c r="AC55" s="70">
        <f>SUM(AC56:AC61)</f>
        <v>1606609.36</v>
      </c>
    </row>
    <row r="56" spans="2:29" ht="15">
      <c r="B56" s="57">
        <v>2111</v>
      </c>
      <c r="C56" s="14" t="s">
        <v>100</v>
      </c>
      <c r="D56" s="58">
        <f>+PRESUPACUM!D56</f>
        <v>1267868.59</v>
      </c>
      <c r="E56" s="58">
        <f>+PRESUPACUM!E56</f>
        <v>951952.5500000002</v>
      </c>
      <c r="F56" s="18">
        <v>0</v>
      </c>
      <c r="G56" s="59">
        <f aca="true" t="shared" si="24" ref="G56:G61">+F56</f>
        <v>0</v>
      </c>
      <c r="H56" s="18">
        <v>1455.61</v>
      </c>
      <c r="I56" s="15">
        <f aca="true" t="shared" si="25" ref="I56:I61">+G56+H56</f>
        <v>1455.61</v>
      </c>
      <c r="J56" s="18">
        <v>4558.93</v>
      </c>
      <c r="K56" s="15">
        <f aca="true" t="shared" si="26" ref="K56:K61">+I56+J56</f>
        <v>6014.54</v>
      </c>
      <c r="L56" s="18">
        <v>2187.51</v>
      </c>
      <c r="M56" s="15">
        <f aca="true" t="shared" si="27" ref="M56:M61">+K56+L56</f>
        <v>8202.05</v>
      </c>
      <c r="N56" s="18">
        <v>15599.3</v>
      </c>
      <c r="O56" s="15">
        <f aca="true" t="shared" si="28" ref="O56:O61">+M56+N56</f>
        <v>23801.35</v>
      </c>
      <c r="P56" s="18">
        <v>482018.85</v>
      </c>
      <c r="Q56" s="15">
        <f aca="true" t="shared" si="29" ref="Q56:Q61">+O56+P56</f>
        <v>505820.19999999995</v>
      </c>
      <c r="R56" s="18">
        <v>5000.53</v>
      </c>
      <c r="S56" s="15">
        <f aca="true" t="shared" si="30" ref="S56:S61">+Q56+R56</f>
        <v>510820.73</v>
      </c>
      <c r="T56" s="18">
        <v>2520.21</v>
      </c>
      <c r="U56" s="15">
        <f aca="true" t="shared" si="31" ref="U56:U61">+S56+T56</f>
        <v>513340.94</v>
      </c>
      <c r="V56" s="18">
        <v>245907.59</v>
      </c>
      <c r="W56" s="15">
        <f aca="true" t="shared" si="32" ref="W56:W61">+U56+V56</f>
        <v>759248.53</v>
      </c>
      <c r="X56" s="18">
        <v>101048.93</v>
      </c>
      <c r="Y56" s="15">
        <f aca="true" t="shared" si="33" ref="Y56:Y61">+W56+X56</f>
        <v>860297.46</v>
      </c>
      <c r="Z56" s="18">
        <v>84376.81</v>
      </c>
      <c r="AA56" s="15">
        <f aca="true" t="shared" si="34" ref="AA56:AA61">+Y56+Z56</f>
        <v>944674.27</v>
      </c>
      <c r="AB56" s="18">
        <v>7278.28</v>
      </c>
      <c r="AC56" s="15">
        <f aca="true" t="shared" si="35" ref="AC56:AC61">+AA56+AB56</f>
        <v>951952.55</v>
      </c>
    </row>
    <row r="57" spans="2:29" ht="15">
      <c r="B57" s="57">
        <v>2121</v>
      </c>
      <c r="C57" s="14" t="s">
        <v>53</v>
      </c>
      <c r="D57" s="58">
        <f>+PRESUPACUM!D57</f>
        <v>0</v>
      </c>
      <c r="E57" s="58">
        <f>+PRESUPACUM!E57</f>
        <v>0</v>
      </c>
      <c r="F57" s="18">
        <v>0</v>
      </c>
      <c r="G57" s="59">
        <f t="shared" si="24"/>
        <v>0</v>
      </c>
      <c r="H57" s="18">
        <v>0</v>
      </c>
      <c r="I57" s="15">
        <f t="shared" si="25"/>
        <v>0</v>
      </c>
      <c r="J57" s="18">
        <v>0</v>
      </c>
      <c r="K57" s="15">
        <f t="shared" si="26"/>
        <v>0</v>
      </c>
      <c r="L57" s="18">
        <v>0</v>
      </c>
      <c r="M57" s="15">
        <f t="shared" si="27"/>
        <v>0</v>
      </c>
      <c r="N57" s="18">
        <v>0</v>
      </c>
      <c r="O57" s="15">
        <f t="shared" si="28"/>
        <v>0</v>
      </c>
      <c r="P57" s="18">
        <v>0</v>
      </c>
      <c r="Q57" s="15">
        <f t="shared" si="29"/>
        <v>0</v>
      </c>
      <c r="R57" s="18">
        <v>0</v>
      </c>
      <c r="S57" s="15">
        <f t="shared" si="30"/>
        <v>0</v>
      </c>
      <c r="T57" s="18">
        <v>0</v>
      </c>
      <c r="U57" s="15">
        <f t="shared" si="31"/>
        <v>0</v>
      </c>
      <c r="V57" s="18">
        <v>0</v>
      </c>
      <c r="W57" s="15">
        <f t="shared" si="32"/>
        <v>0</v>
      </c>
      <c r="X57" s="18">
        <v>0</v>
      </c>
      <c r="Y57" s="15">
        <f t="shared" si="33"/>
        <v>0</v>
      </c>
      <c r="Z57" s="18">
        <v>0</v>
      </c>
      <c r="AA57" s="15">
        <f t="shared" si="34"/>
        <v>0</v>
      </c>
      <c r="AB57" s="18">
        <v>0</v>
      </c>
      <c r="AC57" s="15">
        <f t="shared" si="35"/>
        <v>0</v>
      </c>
    </row>
    <row r="58" spans="2:29" ht="15">
      <c r="B58" s="57">
        <v>2141</v>
      </c>
      <c r="C58" s="14" t="s">
        <v>103</v>
      </c>
      <c r="D58" s="58">
        <f>+PRESUPACUM!D58</f>
        <v>909438.5000000001</v>
      </c>
      <c r="E58" s="58">
        <f>+PRESUPACUM!E58</f>
        <v>551521.47</v>
      </c>
      <c r="F58" s="18">
        <v>0</v>
      </c>
      <c r="G58" s="59">
        <f t="shared" si="24"/>
        <v>0</v>
      </c>
      <c r="H58" s="18">
        <v>0</v>
      </c>
      <c r="I58" s="15">
        <f t="shared" si="25"/>
        <v>0</v>
      </c>
      <c r="J58" s="18">
        <v>14756.36</v>
      </c>
      <c r="K58" s="15">
        <f t="shared" si="26"/>
        <v>14756.36</v>
      </c>
      <c r="L58" s="18">
        <v>0</v>
      </c>
      <c r="M58" s="15">
        <f t="shared" si="27"/>
        <v>14756.36</v>
      </c>
      <c r="N58" s="18">
        <v>2325.14</v>
      </c>
      <c r="O58" s="15">
        <f t="shared" si="28"/>
        <v>17081.5</v>
      </c>
      <c r="P58" s="18">
        <v>150603.38</v>
      </c>
      <c r="Q58" s="15">
        <f t="shared" si="29"/>
        <v>167684.88</v>
      </c>
      <c r="R58" s="18">
        <v>4259.52</v>
      </c>
      <c r="S58" s="15">
        <f t="shared" si="30"/>
        <v>171944.4</v>
      </c>
      <c r="T58" s="18">
        <v>0</v>
      </c>
      <c r="U58" s="15">
        <f t="shared" si="31"/>
        <v>171944.4</v>
      </c>
      <c r="V58" s="18">
        <v>304562.06</v>
      </c>
      <c r="W58" s="15">
        <f t="shared" si="32"/>
        <v>476506.45999999996</v>
      </c>
      <c r="X58" s="18">
        <v>0</v>
      </c>
      <c r="Y58" s="15">
        <f t="shared" si="33"/>
        <v>476506.45999999996</v>
      </c>
      <c r="Z58" s="18">
        <v>1378.08</v>
      </c>
      <c r="AA58" s="15">
        <f t="shared" si="34"/>
        <v>477884.54</v>
      </c>
      <c r="AB58" s="18">
        <v>73636.93</v>
      </c>
      <c r="AC58" s="15">
        <f t="shared" si="35"/>
        <v>551521.47</v>
      </c>
    </row>
    <row r="59" spans="2:29" ht="15">
      <c r="B59" s="57">
        <v>2151</v>
      </c>
      <c r="C59" s="14" t="s">
        <v>105</v>
      </c>
      <c r="D59" s="58">
        <f>+PRESUPACUM!D59</f>
        <v>185759.04</v>
      </c>
      <c r="E59" s="58">
        <f>+PRESUPACUM!E59</f>
        <v>91671.90000000002</v>
      </c>
      <c r="F59" s="18">
        <v>6965.5</v>
      </c>
      <c r="G59" s="59">
        <f t="shared" si="24"/>
        <v>6965.5</v>
      </c>
      <c r="H59" s="18">
        <v>6965.5</v>
      </c>
      <c r="I59" s="15">
        <f t="shared" si="25"/>
        <v>13931</v>
      </c>
      <c r="J59" s="18">
        <v>13543.5</v>
      </c>
      <c r="K59" s="15">
        <f t="shared" si="26"/>
        <v>27474.5</v>
      </c>
      <c r="L59" s="18">
        <v>6965.5</v>
      </c>
      <c r="M59" s="15">
        <f t="shared" si="27"/>
        <v>34440</v>
      </c>
      <c r="N59" s="18">
        <v>6965.5</v>
      </c>
      <c r="O59" s="15">
        <f t="shared" si="28"/>
        <v>41405.5</v>
      </c>
      <c r="P59" s="18">
        <v>6965.5</v>
      </c>
      <c r="Q59" s="15">
        <f t="shared" si="29"/>
        <v>48371</v>
      </c>
      <c r="R59" s="18">
        <v>6965.5</v>
      </c>
      <c r="S59" s="15">
        <f t="shared" si="30"/>
        <v>55336.5</v>
      </c>
      <c r="T59" s="18">
        <v>6965.5</v>
      </c>
      <c r="U59" s="15">
        <f t="shared" si="31"/>
        <v>62302</v>
      </c>
      <c r="V59" s="18">
        <v>6965.5</v>
      </c>
      <c r="W59" s="15">
        <f t="shared" si="32"/>
        <v>69267.5</v>
      </c>
      <c r="X59" s="18">
        <v>6965.5</v>
      </c>
      <c r="Y59" s="15">
        <f t="shared" si="33"/>
        <v>76233</v>
      </c>
      <c r="Z59" s="18">
        <v>6965.5</v>
      </c>
      <c r="AA59" s="15">
        <f t="shared" si="34"/>
        <v>83198.5</v>
      </c>
      <c r="AB59" s="18">
        <v>8473.4</v>
      </c>
      <c r="AC59" s="15">
        <f t="shared" si="35"/>
        <v>91671.9</v>
      </c>
    </row>
    <row r="60" spans="2:29" ht="15">
      <c r="B60" s="57">
        <v>2161</v>
      </c>
      <c r="C60" s="14" t="s">
        <v>41</v>
      </c>
      <c r="D60" s="58">
        <f>+PRESUPACUM!D60</f>
        <v>0</v>
      </c>
      <c r="E60" s="58">
        <f>+PRESUPACUM!E60</f>
        <v>6985.839999999999</v>
      </c>
      <c r="F60" s="18">
        <v>0</v>
      </c>
      <c r="G60" s="59">
        <f t="shared" si="24"/>
        <v>0</v>
      </c>
      <c r="H60" s="18">
        <v>116</v>
      </c>
      <c r="I60" s="15">
        <f t="shared" si="25"/>
        <v>116</v>
      </c>
      <c r="J60" s="18">
        <v>4229.34</v>
      </c>
      <c r="K60" s="15">
        <f t="shared" si="26"/>
        <v>4345.34</v>
      </c>
      <c r="L60" s="18">
        <v>293.8</v>
      </c>
      <c r="M60" s="15">
        <f t="shared" si="27"/>
        <v>4639.14</v>
      </c>
      <c r="N60" s="18">
        <v>157.7</v>
      </c>
      <c r="O60" s="15">
        <f t="shared" si="28"/>
        <v>4796.84</v>
      </c>
      <c r="P60" s="18">
        <v>299.9</v>
      </c>
      <c r="Q60" s="15">
        <f t="shared" si="29"/>
        <v>5096.74</v>
      </c>
      <c r="R60" s="18">
        <v>134.65</v>
      </c>
      <c r="S60" s="15">
        <f t="shared" si="30"/>
        <v>5231.389999999999</v>
      </c>
      <c r="T60" s="18">
        <v>303.41</v>
      </c>
      <c r="U60" s="15">
        <f t="shared" si="31"/>
        <v>5534.799999999999</v>
      </c>
      <c r="V60" s="18">
        <v>0</v>
      </c>
      <c r="W60" s="15">
        <f t="shared" si="32"/>
        <v>5534.799999999999</v>
      </c>
      <c r="X60" s="18">
        <v>1282.14</v>
      </c>
      <c r="Y60" s="15">
        <f t="shared" si="33"/>
        <v>6816.94</v>
      </c>
      <c r="Z60" s="18">
        <v>99</v>
      </c>
      <c r="AA60" s="15">
        <f t="shared" si="34"/>
        <v>6915.94</v>
      </c>
      <c r="AB60" s="18">
        <v>69.9</v>
      </c>
      <c r="AC60" s="15">
        <f t="shared" si="35"/>
        <v>6985.839999999999</v>
      </c>
    </row>
    <row r="61" spans="2:29" ht="15">
      <c r="B61" s="57">
        <v>2171</v>
      </c>
      <c r="C61" s="14" t="s">
        <v>104</v>
      </c>
      <c r="D61" s="58">
        <f>+PRESUPACUM!D61</f>
        <v>0</v>
      </c>
      <c r="E61" s="58">
        <f>+PRESUPACUM!E61</f>
        <v>4477.6</v>
      </c>
      <c r="F61" s="18">
        <v>0</v>
      </c>
      <c r="G61" s="59">
        <f t="shared" si="24"/>
        <v>0</v>
      </c>
      <c r="H61" s="18">
        <v>0</v>
      </c>
      <c r="I61" s="15">
        <f t="shared" si="25"/>
        <v>0</v>
      </c>
      <c r="J61" s="18">
        <v>0</v>
      </c>
      <c r="K61" s="15">
        <f t="shared" si="26"/>
        <v>0</v>
      </c>
      <c r="L61" s="18">
        <v>0</v>
      </c>
      <c r="M61" s="15">
        <f t="shared" si="27"/>
        <v>0</v>
      </c>
      <c r="N61" s="18">
        <v>0</v>
      </c>
      <c r="O61" s="15">
        <f t="shared" si="28"/>
        <v>0</v>
      </c>
      <c r="P61" s="18">
        <v>0</v>
      </c>
      <c r="Q61" s="15">
        <f t="shared" si="29"/>
        <v>0</v>
      </c>
      <c r="R61" s="18">
        <v>0</v>
      </c>
      <c r="S61" s="15">
        <f t="shared" si="30"/>
        <v>0</v>
      </c>
      <c r="T61" s="18">
        <v>0</v>
      </c>
      <c r="U61" s="15">
        <f t="shared" si="31"/>
        <v>0</v>
      </c>
      <c r="V61" s="18">
        <v>0</v>
      </c>
      <c r="W61" s="15">
        <f t="shared" si="32"/>
        <v>0</v>
      </c>
      <c r="X61" s="18">
        <v>0</v>
      </c>
      <c r="Y61" s="15">
        <f t="shared" si="33"/>
        <v>0</v>
      </c>
      <c r="Z61" s="18">
        <v>0</v>
      </c>
      <c r="AA61" s="15">
        <f t="shared" si="34"/>
        <v>0</v>
      </c>
      <c r="AB61" s="18">
        <v>4477.6</v>
      </c>
      <c r="AC61" s="15">
        <f t="shared" si="35"/>
        <v>4477.6</v>
      </c>
    </row>
    <row r="62" spans="2:29" ht="15">
      <c r="B62" s="66"/>
      <c r="C62" s="14"/>
      <c r="D62" s="58"/>
      <c r="E62" s="58"/>
      <c r="F62" s="15"/>
      <c r="G62" s="76"/>
      <c r="H62" s="15"/>
      <c r="I62" s="76"/>
      <c r="J62" s="15"/>
      <c r="K62" s="5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2:29" ht="15.75">
      <c r="B63" s="69">
        <v>2200</v>
      </c>
      <c r="C63" s="77" t="s">
        <v>42</v>
      </c>
      <c r="D63" s="92">
        <f aca="true" t="shared" si="36" ref="D63:O63">SUM(D64:D65)</f>
        <v>360000</v>
      </c>
      <c r="E63" s="92">
        <f>SUM(E64:E65)</f>
        <v>385460.1199999999</v>
      </c>
      <c r="F63" s="70">
        <f t="shared" si="36"/>
        <v>10000</v>
      </c>
      <c r="G63" s="70">
        <f t="shared" si="36"/>
        <v>10000</v>
      </c>
      <c r="H63" s="70">
        <f>SUM(H64:H65)</f>
        <v>18665.89</v>
      </c>
      <c r="I63" s="70">
        <f t="shared" si="36"/>
        <v>28665.89</v>
      </c>
      <c r="J63" s="70">
        <f>SUM(J64:J65)</f>
        <v>20075.47</v>
      </c>
      <c r="K63" s="70">
        <f t="shared" si="36"/>
        <v>48741.36</v>
      </c>
      <c r="L63" s="70">
        <f t="shared" si="36"/>
        <v>20408.69</v>
      </c>
      <c r="M63" s="70">
        <f t="shared" si="36"/>
        <v>69150.05</v>
      </c>
      <c r="N63" s="70">
        <f>SUM(N64:N65)</f>
        <v>13691.13</v>
      </c>
      <c r="O63" s="70">
        <f t="shared" si="36"/>
        <v>82841.18000000001</v>
      </c>
      <c r="P63" s="70">
        <f>SUM(P64:P65)</f>
        <v>27593</v>
      </c>
      <c r="Q63" s="70">
        <f aca="true" t="shared" si="37" ref="Q63:Z63">SUM(Q64:Q65)</f>
        <v>110434.18000000001</v>
      </c>
      <c r="R63" s="70">
        <f>SUM(R64:R65)</f>
        <v>32314.79</v>
      </c>
      <c r="S63" s="70">
        <f t="shared" si="37"/>
        <v>142748.97</v>
      </c>
      <c r="T63" s="70">
        <f t="shared" si="37"/>
        <v>27871.41</v>
      </c>
      <c r="U63" s="70">
        <f t="shared" si="37"/>
        <v>170620.38</v>
      </c>
      <c r="V63" s="70">
        <f>SUM(V64:V65)</f>
        <v>33189.86</v>
      </c>
      <c r="W63" s="70">
        <f t="shared" si="37"/>
        <v>203810.24000000002</v>
      </c>
      <c r="X63" s="70">
        <f>SUM(X64:X65)</f>
        <v>36441.2</v>
      </c>
      <c r="Y63" s="70">
        <f t="shared" si="37"/>
        <v>240251.44000000003</v>
      </c>
      <c r="Z63" s="70">
        <f t="shared" si="37"/>
        <v>28325.82</v>
      </c>
      <c r="AA63" s="70">
        <f>SUM(AA64:AA65)</f>
        <v>268577.26</v>
      </c>
      <c r="AB63" s="70">
        <f>SUM(AB64:AB65)</f>
        <v>116882.86</v>
      </c>
      <c r="AC63" s="70">
        <f>SUM(AC64:AC65)</f>
        <v>385460.12</v>
      </c>
    </row>
    <row r="64" spans="2:29" ht="15">
      <c r="B64" s="57">
        <v>2211</v>
      </c>
      <c r="C64" s="14" t="s">
        <v>106</v>
      </c>
      <c r="D64" s="94">
        <f>+PRESUPACUM!D64</f>
        <v>360000</v>
      </c>
      <c r="E64" s="94">
        <f>+PRESUPACUM!E64</f>
        <v>374654.4599999999</v>
      </c>
      <c r="F64" s="72">
        <v>10000</v>
      </c>
      <c r="G64" s="59">
        <f>+F64</f>
        <v>10000</v>
      </c>
      <c r="H64" s="72">
        <v>18665.89</v>
      </c>
      <c r="I64" s="15">
        <f>+G64+H64</f>
        <v>28665.89</v>
      </c>
      <c r="J64" s="72">
        <v>20075.47</v>
      </c>
      <c r="K64" s="15">
        <f>+I64+J64</f>
        <v>48741.36</v>
      </c>
      <c r="L64" s="72">
        <v>20408.69</v>
      </c>
      <c r="M64" s="15">
        <f>+K64+L64</f>
        <v>69150.05</v>
      </c>
      <c r="N64" s="72">
        <v>13691.13</v>
      </c>
      <c r="O64" s="15">
        <f>+M64+N64</f>
        <v>82841.18000000001</v>
      </c>
      <c r="P64" s="72">
        <v>27593</v>
      </c>
      <c r="Q64" s="15">
        <f>+O64+P64</f>
        <v>110434.18000000001</v>
      </c>
      <c r="R64" s="72">
        <v>28858.89</v>
      </c>
      <c r="S64" s="15">
        <f>+Q64+R64</f>
        <v>139293.07</v>
      </c>
      <c r="T64" s="72">
        <v>27871.41</v>
      </c>
      <c r="U64" s="15">
        <f>+S64+T64</f>
        <v>167164.48</v>
      </c>
      <c r="V64" s="72">
        <v>33189.86</v>
      </c>
      <c r="W64" s="15">
        <f>+U64+V64</f>
        <v>200354.34000000003</v>
      </c>
      <c r="X64" s="72">
        <v>29091.44</v>
      </c>
      <c r="Y64" s="15">
        <f>+W64+X64</f>
        <v>229445.78000000003</v>
      </c>
      <c r="Z64" s="72">
        <v>28325.82</v>
      </c>
      <c r="AA64" s="15">
        <f>+Y64+Z64</f>
        <v>257771.60000000003</v>
      </c>
      <c r="AB64" s="72">
        <v>116882.86</v>
      </c>
      <c r="AC64" s="15">
        <f>+AA64+AB64</f>
        <v>374654.46</v>
      </c>
    </row>
    <row r="65" spans="2:29" ht="15">
      <c r="B65" s="57">
        <v>2231</v>
      </c>
      <c r="C65" s="14" t="s">
        <v>6</v>
      </c>
      <c r="D65" s="58">
        <f>+PRESUPACUM!D65</f>
        <v>0</v>
      </c>
      <c r="E65" s="58">
        <f>+PRESUPACUM!E65</f>
        <v>10805.66</v>
      </c>
      <c r="F65" s="18">
        <v>0</v>
      </c>
      <c r="G65" s="59">
        <f>+F65</f>
        <v>0</v>
      </c>
      <c r="H65" s="18">
        <v>0</v>
      </c>
      <c r="I65" s="15">
        <f>+G65+H65</f>
        <v>0</v>
      </c>
      <c r="J65" s="18">
        <v>0</v>
      </c>
      <c r="K65" s="15">
        <f>+I65+J65</f>
        <v>0</v>
      </c>
      <c r="L65" s="18">
        <v>0</v>
      </c>
      <c r="M65" s="15">
        <f>+K65+L65</f>
        <v>0</v>
      </c>
      <c r="N65" s="18">
        <v>0</v>
      </c>
      <c r="O65" s="15">
        <f>+M65+N65</f>
        <v>0</v>
      </c>
      <c r="P65" s="18">
        <v>0</v>
      </c>
      <c r="Q65" s="15">
        <f>+O65+P65</f>
        <v>0</v>
      </c>
      <c r="R65" s="18">
        <v>3455.9</v>
      </c>
      <c r="S65" s="15">
        <f>+Q65+R65</f>
        <v>3455.9</v>
      </c>
      <c r="T65" s="18">
        <v>0</v>
      </c>
      <c r="U65" s="15">
        <f>+S65+T65</f>
        <v>3455.9</v>
      </c>
      <c r="V65" s="18">
        <v>0</v>
      </c>
      <c r="W65" s="15">
        <f>+U65+V65</f>
        <v>3455.9</v>
      </c>
      <c r="X65" s="18">
        <v>7349.76</v>
      </c>
      <c r="Y65" s="15">
        <f>+W65+X65</f>
        <v>10805.66</v>
      </c>
      <c r="Z65" s="18">
        <v>0</v>
      </c>
      <c r="AA65" s="15">
        <f>+Y65+Z65</f>
        <v>10805.66</v>
      </c>
      <c r="AB65" s="18">
        <v>0</v>
      </c>
      <c r="AC65" s="15">
        <f>+AA65+AB65</f>
        <v>10805.66</v>
      </c>
    </row>
    <row r="66" spans="2:29" ht="15">
      <c r="B66" s="66"/>
      <c r="C66" s="14"/>
      <c r="D66" s="58"/>
      <c r="E66" s="58"/>
      <c r="F66" s="15"/>
      <c r="G66" s="59"/>
      <c r="H66" s="15"/>
      <c r="I66" s="59"/>
      <c r="J66" s="15"/>
      <c r="K66" s="59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2:29" ht="15.75">
      <c r="B67" s="69">
        <v>2400</v>
      </c>
      <c r="C67" s="67" t="s">
        <v>174</v>
      </c>
      <c r="D67" s="92">
        <f>SUM(D68:D76)</f>
        <v>1689826</v>
      </c>
      <c r="E67" s="92">
        <f>SUM(E68:E76)</f>
        <v>210090.2199999999</v>
      </c>
      <c r="F67" s="92">
        <f aca="true" t="shared" si="38" ref="F67:AC67">SUM(F68:F76)</f>
        <v>0</v>
      </c>
      <c r="G67" s="92">
        <f t="shared" si="38"/>
        <v>0</v>
      </c>
      <c r="H67" s="92">
        <f>SUM(H68:H76)</f>
        <v>450.39</v>
      </c>
      <c r="I67" s="92">
        <f t="shared" si="38"/>
        <v>450.39</v>
      </c>
      <c r="J67" s="92">
        <f>SUM(J68:J76)</f>
        <v>22183.819999999996</v>
      </c>
      <c r="K67" s="92">
        <f t="shared" si="38"/>
        <v>22634.209999999995</v>
      </c>
      <c r="L67" s="92">
        <f t="shared" si="38"/>
        <v>15250.03</v>
      </c>
      <c r="M67" s="92">
        <f t="shared" si="38"/>
        <v>37884.24</v>
      </c>
      <c r="N67" s="92">
        <f>SUM(N68:N76)</f>
        <v>1450.99</v>
      </c>
      <c r="O67" s="92">
        <f t="shared" si="38"/>
        <v>39335.229999999996</v>
      </c>
      <c r="P67" s="92">
        <f>SUM(P68:P76)</f>
        <v>10736.3</v>
      </c>
      <c r="Q67" s="92">
        <f t="shared" si="38"/>
        <v>50071.53</v>
      </c>
      <c r="R67" s="92">
        <f>SUM(R68:R76)</f>
        <v>15193.79</v>
      </c>
      <c r="S67" s="92">
        <f t="shared" si="38"/>
        <v>65265.32</v>
      </c>
      <c r="T67" s="92">
        <f t="shared" si="38"/>
        <v>2976.5899999999997</v>
      </c>
      <c r="U67" s="92">
        <f t="shared" si="38"/>
        <v>68241.91</v>
      </c>
      <c r="V67" s="92">
        <f>SUM(V68:V76)</f>
        <v>15307.27</v>
      </c>
      <c r="W67" s="92">
        <f t="shared" si="38"/>
        <v>83549.18</v>
      </c>
      <c r="X67" s="92">
        <f>SUM(X68:X76)</f>
        <v>27342.8</v>
      </c>
      <c r="Y67" s="92">
        <f t="shared" si="38"/>
        <v>110891.98000000001</v>
      </c>
      <c r="Z67" s="92">
        <f t="shared" si="38"/>
        <v>1464.8</v>
      </c>
      <c r="AA67" s="92">
        <f t="shared" si="38"/>
        <v>112356.78000000001</v>
      </c>
      <c r="AB67" s="92">
        <f>SUM(AB68:AB76)</f>
        <v>97733.44</v>
      </c>
      <c r="AC67" s="92">
        <f t="shared" si="38"/>
        <v>210090.22</v>
      </c>
    </row>
    <row r="68" spans="2:29" ht="15">
      <c r="B68" s="57">
        <v>2419</v>
      </c>
      <c r="C68" s="14" t="s">
        <v>107</v>
      </c>
      <c r="D68" s="94">
        <f>+PRESUPACUM!D68</f>
        <v>0</v>
      </c>
      <c r="E68" s="94">
        <f>+PRESUPACUM!E68</f>
        <v>6401.78</v>
      </c>
      <c r="F68" s="72">
        <v>0</v>
      </c>
      <c r="G68" s="59">
        <f aca="true" t="shared" si="39" ref="G68:G76">+F68</f>
        <v>0</v>
      </c>
      <c r="H68" s="72">
        <v>0</v>
      </c>
      <c r="I68" s="15">
        <f aca="true" t="shared" si="40" ref="I68:I76">+G68+H68</f>
        <v>0</v>
      </c>
      <c r="J68" s="72">
        <v>0</v>
      </c>
      <c r="K68" s="15">
        <f aca="true" t="shared" si="41" ref="K68:K76">+I68+J68</f>
        <v>0</v>
      </c>
      <c r="L68" s="72">
        <v>391.56</v>
      </c>
      <c r="M68" s="15">
        <f aca="true" t="shared" si="42" ref="M68:M76">+K68+L68</f>
        <v>391.56</v>
      </c>
      <c r="N68" s="72">
        <v>464</v>
      </c>
      <c r="O68" s="15">
        <f aca="true" t="shared" si="43" ref="O68:O76">+M68+N68</f>
        <v>855.56</v>
      </c>
      <c r="P68" s="72">
        <v>0</v>
      </c>
      <c r="Q68" s="15">
        <f aca="true" t="shared" si="44" ref="Q68:Q76">+O68+P68</f>
        <v>855.56</v>
      </c>
      <c r="R68" s="72">
        <v>2151.58</v>
      </c>
      <c r="S68" s="15">
        <f aca="true" t="shared" si="45" ref="S68:S76">+Q68+R68</f>
        <v>3007.14</v>
      </c>
      <c r="T68" s="72">
        <v>0</v>
      </c>
      <c r="U68" s="15">
        <f aca="true" t="shared" si="46" ref="U68:U76">+S68+T68</f>
        <v>3007.14</v>
      </c>
      <c r="V68" s="72">
        <v>0</v>
      </c>
      <c r="W68" s="15">
        <f aca="true" t="shared" si="47" ref="W68:W76">+U68+V68</f>
        <v>3007.14</v>
      </c>
      <c r="X68" s="72">
        <v>2779.84</v>
      </c>
      <c r="Y68" s="15">
        <f aca="true" t="shared" si="48" ref="Y68:Y76">+W68+X68</f>
        <v>5786.98</v>
      </c>
      <c r="Z68" s="72">
        <v>614.8</v>
      </c>
      <c r="AA68" s="15">
        <f aca="true" t="shared" si="49" ref="AA68:AA76">+Y68+Z68</f>
        <v>6401.78</v>
      </c>
      <c r="AB68" s="72">
        <v>0</v>
      </c>
      <c r="AC68" s="15">
        <f aca="true" t="shared" si="50" ref="AC68:AC76">+AA68+AB68</f>
        <v>6401.78</v>
      </c>
    </row>
    <row r="69" spans="2:29" ht="15">
      <c r="B69" s="57">
        <v>2421</v>
      </c>
      <c r="C69" s="14" t="s">
        <v>108</v>
      </c>
      <c r="D69" s="58">
        <f>+PRESUPACUM!D69</f>
        <v>0</v>
      </c>
      <c r="E69" s="58">
        <f>+PRESUPACUM!E69</f>
        <v>246.02</v>
      </c>
      <c r="F69" s="18">
        <v>0</v>
      </c>
      <c r="G69" s="59">
        <f t="shared" si="39"/>
        <v>0</v>
      </c>
      <c r="H69" s="18">
        <v>0</v>
      </c>
      <c r="I69" s="15">
        <f t="shared" si="40"/>
        <v>0</v>
      </c>
      <c r="J69" s="18">
        <v>0</v>
      </c>
      <c r="K69" s="15">
        <f t="shared" si="41"/>
        <v>0</v>
      </c>
      <c r="L69" s="18">
        <v>0</v>
      </c>
      <c r="M69" s="15">
        <f t="shared" si="42"/>
        <v>0</v>
      </c>
      <c r="N69" s="18">
        <v>0</v>
      </c>
      <c r="O69" s="15">
        <f t="shared" si="43"/>
        <v>0</v>
      </c>
      <c r="P69" s="18">
        <v>0</v>
      </c>
      <c r="Q69" s="15">
        <f t="shared" si="44"/>
        <v>0</v>
      </c>
      <c r="R69" s="18">
        <v>0</v>
      </c>
      <c r="S69" s="15">
        <f t="shared" si="45"/>
        <v>0</v>
      </c>
      <c r="T69" s="18">
        <v>0</v>
      </c>
      <c r="U69" s="15">
        <f t="shared" si="46"/>
        <v>0</v>
      </c>
      <c r="V69" s="18">
        <v>0</v>
      </c>
      <c r="W69" s="15">
        <f t="shared" si="47"/>
        <v>0</v>
      </c>
      <c r="X69" s="18">
        <v>246.02</v>
      </c>
      <c r="Y69" s="15">
        <f t="shared" si="48"/>
        <v>246.02</v>
      </c>
      <c r="Z69" s="18">
        <v>0</v>
      </c>
      <c r="AA69" s="15">
        <f t="shared" si="49"/>
        <v>246.02</v>
      </c>
      <c r="AB69" s="18">
        <v>0</v>
      </c>
      <c r="AC69" s="15">
        <f t="shared" si="50"/>
        <v>246.02</v>
      </c>
    </row>
    <row r="70" spans="2:29" ht="15">
      <c r="B70" s="57">
        <v>2431</v>
      </c>
      <c r="C70" s="14" t="s">
        <v>109</v>
      </c>
      <c r="D70" s="58">
        <f>+PRESUPACUM!D70</f>
        <v>0</v>
      </c>
      <c r="E70" s="58">
        <f>+PRESUPACUM!E70</f>
        <v>939.95</v>
      </c>
      <c r="F70" s="18">
        <v>0</v>
      </c>
      <c r="G70" s="59">
        <f t="shared" si="39"/>
        <v>0</v>
      </c>
      <c r="H70" s="18">
        <v>0</v>
      </c>
      <c r="I70" s="15">
        <f t="shared" si="40"/>
        <v>0</v>
      </c>
      <c r="J70" s="18">
        <v>0</v>
      </c>
      <c r="K70" s="15">
        <f t="shared" si="41"/>
        <v>0</v>
      </c>
      <c r="L70" s="18">
        <v>0</v>
      </c>
      <c r="M70" s="15">
        <f t="shared" si="42"/>
        <v>0</v>
      </c>
      <c r="N70" s="18">
        <v>0</v>
      </c>
      <c r="O70" s="15">
        <f t="shared" si="43"/>
        <v>0</v>
      </c>
      <c r="P70" s="18">
        <v>0</v>
      </c>
      <c r="Q70" s="15">
        <f t="shared" si="44"/>
        <v>0</v>
      </c>
      <c r="R70" s="18">
        <v>939.95</v>
      </c>
      <c r="S70" s="15">
        <f t="shared" si="45"/>
        <v>939.95</v>
      </c>
      <c r="T70" s="18">
        <v>0</v>
      </c>
      <c r="U70" s="15">
        <f t="shared" si="46"/>
        <v>939.95</v>
      </c>
      <c r="V70" s="18">
        <v>0</v>
      </c>
      <c r="W70" s="15">
        <f t="shared" si="47"/>
        <v>939.95</v>
      </c>
      <c r="X70" s="18">
        <v>0</v>
      </c>
      <c r="Y70" s="15">
        <f t="shared" si="48"/>
        <v>939.95</v>
      </c>
      <c r="Z70" s="18">
        <v>0</v>
      </c>
      <c r="AA70" s="15">
        <f t="shared" si="49"/>
        <v>939.95</v>
      </c>
      <c r="AB70" s="18">
        <v>0</v>
      </c>
      <c r="AC70" s="15">
        <f t="shared" si="50"/>
        <v>939.95</v>
      </c>
    </row>
    <row r="71" spans="2:29" ht="15">
      <c r="B71" s="57">
        <v>2441</v>
      </c>
      <c r="C71" s="14" t="s">
        <v>110</v>
      </c>
      <c r="D71" s="58">
        <f>+PRESUPACUM!D71</f>
        <v>0</v>
      </c>
      <c r="E71" s="58">
        <f>+PRESUPACUM!E71</f>
        <v>19793.29</v>
      </c>
      <c r="F71" s="18">
        <v>0</v>
      </c>
      <c r="G71" s="59">
        <f t="shared" si="39"/>
        <v>0</v>
      </c>
      <c r="H71" s="18">
        <v>0</v>
      </c>
      <c r="I71" s="15">
        <f t="shared" si="40"/>
        <v>0</v>
      </c>
      <c r="J71" s="18">
        <v>0</v>
      </c>
      <c r="K71" s="15">
        <f t="shared" si="41"/>
        <v>0</v>
      </c>
      <c r="L71" s="18">
        <v>0</v>
      </c>
      <c r="M71" s="15">
        <f t="shared" si="42"/>
        <v>0</v>
      </c>
      <c r="N71" s="18">
        <v>0</v>
      </c>
      <c r="O71" s="15">
        <f t="shared" si="43"/>
        <v>0</v>
      </c>
      <c r="P71" s="18">
        <v>10410.3</v>
      </c>
      <c r="Q71" s="15">
        <f t="shared" si="44"/>
        <v>10410.3</v>
      </c>
      <c r="R71" s="18">
        <v>168.2</v>
      </c>
      <c r="S71" s="15">
        <f t="shared" si="45"/>
        <v>10578.5</v>
      </c>
      <c r="T71" s="18">
        <v>0</v>
      </c>
      <c r="U71" s="15">
        <f t="shared" si="46"/>
        <v>10578.5</v>
      </c>
      <c r="V71" s="18">
        <v>6508.18</v>
      </c>
      <c r="W71" s="15">
        <f t="shared" si="47"/>
        <v>17086.68</v>
      </c>
      <c r="X71" s="18">
        <v>636.24</v>
      </c>
      <c r="Y71" s="15">
        <f t="shared" si="48"/>
        <v>17722.920000000002</v>
      </c>
      <c r="Z71" s="18">
        <v>0</v>
      </c>
      <c r="AA71" s="15">
        <f t="shared" si="49"/>
        <v>17722.920000000002</v>
      </c>
      <c r="AB71" s="18">
        <v>2070.37</v>
      </c>
      <c r="AC71" s="15">
        <f t="shared" si="50"/>
        <v>19793.29</v>
      </c>
    </row>
    <row r="72" spans="2:29" ht="15">
      <c r="B72" s="57">
        <v>2451</v>
      </c>
      <c r="C72" s="14" t="s">
        <v>111</v>
      </c>
      <c r="D72" s="58">
        <f>+PRESUPACUM!D72</f>
        <v>0</v>
      </c>
      <c r="E72" s="58">
        <f>+PRESUPACUM!E72</f>
        <v>2141.99</v>
      </c>
      <c r="F72" s="18">
        <v>0</v>
      </c>
      <c r="G72" s="59">
        <f t="shared" si="39"/>
        <v>0</v>
      </c>
      <c r="H72" s="18">
        <v>0</v>
      </c>
      <c r="I72" s="15">
        <f t="shared" si="40"/>
        <v>0</v>
      </c>
      <c r="J72" s="18">
        <v>0</v>
      </c>
      <c r="K72" s="15">
        <f t="shared" si="41"/>
        <v>0</v>
      </c>
      <c r="L72" s="18">
        <v>0</v>
      </c>
      <c r="M72" s="15">
        <f t="shared" si="42"/>
        <v>0</v>
      </c>
      <c r="N72" s="18">
        <v>0</v>
      </c>
      <c r="O72" s="15">
        <f t="shared" si="43"/>
        <v>0</v>
      </c>
      <c r="P72" s="18">
        <v>0</v>
      </c>
      <c r="Q72" s="15">
        <f t="shared" si="44"/>
        <v>0</v>
      </c>
      <c r="R72" s="18">
        <v>0</v>
      </c>
      <c r="S72" s="15">
        <f t="shared" si="45"/>
        <v>0</v>
      </c>
      <c r="T72" s="18">
        <v>0</v>
      </c>
      <c r="U72" s="15">
        <f t="shared" si="46"/>
        <v>0</v>
      </c>
      <c r="V72" s="18">
        <v>1561.99</v>
      </c>
      <c r="W72" s="15">
        <f t="shared" si="47"/>
        <v>1561.99</v>
      </c>
      <c r="X72" s="18">
        <v>0</v>
      </c>
      <c r="Y72" s="15">
        <f t="shared" si="48"/>
        <v>1561.99</v>
      </c>
      <c r="Z72" s="18">
        <v>0</v>
      </c>
      <c r="AA72" s="15">
        <f t="shared" si="49"/>
        <v>1561.99</v>
      </c>
      <c r="AB72" s="18">
        <v>580</v>
      </c>
      <c r="AC72" s="15">
        <f t="shared" si="50"/>
        <v>2141.99</v>
      </c>
    </row>
    <row r="73" spans="2:29" ht="15">
      <c r="B73" s="57">
        <v>2461</v>
      </c>
      <c r="C73" s="14" t="s">
        <v>112</v>
      </c>
      <c r="D73" s="58">
        <f>+PRESUPACUM!D73</f>
        <v>203888.66999999998</v>
      </c>
      <c r="E73" s="58">
        <f>+PRESUPACUM!E73</f>
        <v>61403.17</v>
      </c>
      <c r="F73" s="18">
        <v>0</v>
      </c>
      <c r="G73" s="59">
        <f t="shared" si="39"/>
        <v>0</v>
      </c>
      <c r="H73" s="18">
        <v>0</v>
      </c>
      <c r="I73" s="15">
        <f t="shared" si="40"/>
        <v>0</v>
      </c>
      <c r="J73" s="18">
        <v>19563.17</v>
      </c>
      <c r="K73" s="15">
        <f t="shared" si="41"/>
        <v>19563.17</v>
      </c>
      <c r="L73" s="18">
        <v>173.4</v>
      </c>
      <c r="M73" s="15">
        <f t="shared" si="42"/>
        <v>19736.57</v>
      </c>
      <c r="N73" s="18">
        <v>0</v>
      </c>
      <c r="O73" s="15">
        <f t="shared" si="43"/>
        <v>19736.57</v>
      </c>
      <c r="P73" s="18">
        <v>0</v>
      </c>
      <c r="Q73" s="15">
        <f t="shared" si="44"/>
        <v>19736.57</v>
      </c>
      <c r="R73" s="18">
        <v>4892.53</v>
      </c>
      <c r="S73" s="15">
        <f t="shared" si="45"/>
        <v>24629.1</v>
      </c>
      <c r="T73" s="18">
        <v>326.99</v>
      </c>
      <c r="U73" s="15">
        <f t="shared" si="46"/>
        <v>24956.09</v>
      </c>
      <c r="V73" s="18">
        <v>0</v>
      </c>
      <c r="W73" s="15">
        <f t="shared" si="47"/>
        <v>24956.09</v>
      </c>
      <c r="X73" s="18">
        <v>1554.4</v>
      </c>
      <c r="Y73" s="15">
        <f t="shared" si="48"/>
        <v>26510.49</v>
      </c>
      <c r="Z73" s="18">
        <v>0</v>
      </c>
      <c r="AA73" s="15">
        <f t="shared" si="49"/>
        <v>26510.49</v>
      </c>
      <c r="AB73" s="18">
        <v>34892.68</v>
      </c>
      <c r="AC73" s="15">
        <f t="shared" si="50"/>
        <v>61403.17</v>
      </c>
    </row>
    <row r="74" spans="2:29" ht="15">
      <c r="B74" s="57">
        <v>2471</v>
      </c>
      <c r="C74" s="14" t="s">
        <v>113</v>
      </c>
      <c r="D74" s="58">
        <f>+PRESUPACUM!D74</f>
        <v>572811.9</v>
      </c>
      <c r="E74" s="58">
        <f>+PRESUPACUM!E74</f>
        <v>39808.71000000008</v>
      </c>
      <c r="F74" s="18">
        <v>0</v>
      </c>
      <c r="G74" s="59">
        <f t="shared" si="39"/>
        <v>0</v>
      </c>
      <c r="H74" s="18">
        <v>0</v>
      </c>
      <c r="I74" s="15">
        <f t="shared" si="40"/>
        <v>0</v>
      </c>
      <c r="J74" s="18">
        <v>1549.17</v>
      </c>
      <c r="K74" s="15">
        <f t="shared" si="41"/>
        <v>1549.17</v>
      </c>
      <c r="L74" s="18">
        <v>1521.24</v>
      </c>
      <c r="M74" s="15">
        <f t="shared" si="42"/>
        <v>3070.41</v>
      </c>
      <c r="N74" s="18">
        <v>725.99</v>
      </c>
      <c r="O74" s="15">
        <f t="shared" si="43"/>
        <v>3796.3999999999996</v>
      </c>
      <c r="P74" s="18">
        <v>126</v>
      </c>
      <c r="Q74" s="15">
        <f t="shared" si="44"/>
        <v>3922.3999999999996</v>
      </c>
      <c r="R74" s="18">
        <v>4604.1</v>
      </c>
      <c r="S74" s="15">
        <f t="shared" si="45"/>
        <v>8526.5</v>
      </c>
      <c r="T74" s="18">
        <v>0</v>
      </c>
      <c r="U74" s="15">
        <f t="shared" si="46"/>
        <v>8526.5</v>
      </c>
      <c r="V74" s="18">
        <v>3752.21</v>
      </c>
      <c r="W74" s="15">
        <f t="shared" si="47"/>
        <v>12278.71</v>
      </c>
      <c r="X74" s="18">
        <v>21766.7</v>
      </c>
      <c r="Y74" s="15">
        <f t="shared" si="48"/>
        <v>34045.41</v>
      </c>
      <c r="Z74" s="18">
        <v>850</v>
      </c>
      <c r="AA74" s="15">
        <f t="shared" si="49"/>
        <v>34895.41</v>
      </c>
      <c r="AB74" s="18">
        <v>4913.3</v>
      </c>
      <c r="AC74" s="15">
        <f t="shared" si="50"/>
        <v>39808.71000000001</v>
      </c>
    </row>
    <row r="75" spans="2:29" ht="15">
      <c r="B75" s="57">
        <v>2481</v>
      </c>
      <c r="C75" s="14" t="s">
        <v>114</v>
      </c>
      <c r="D75" s="58">
        <f>+PRESUPACUM!D75</f>
        <v>325511.5</v>
      </c>
      <c r="E75" s="58">
        <f>+PRESUPACUM!E75</f>
        <v>29531.599999999977</v>
      </c>
      <c r="F75" s="18">
        <v>0</v>
      </c>
      <c r="G75" s="59">
        <f t="shared" si="39"/>
        <v>0</v>
      </c>
      <c r="H75" s="18">
        <v>0</v>
      </c>
      <c r="I75" s="15">
        <f t="shared" si="40"/>
        <v>0</v>
      </c>
      <c r="J75" s="18">
        <v>0</v>
      </c>
      <c r="K75" s="15">
        <f t="shared" si="41"/>
        <v>0</v>
      </c>
      <c r="L75" s="18">
        <v>12946</v>
      </c>
      <c r="M75" s="15">
        <f t="shared" si="42"/>
        <v>12946</v>
      </c>
      <c r="N75" s="18">
        <v>0</v>
      </c>
      <c r="O75" s="15">
        <f t="shared" si="43"/>
        <v>12946</v>
      </c>
      <c r="P75" s="18">
        <v>0</v>
      </c>
      <c r="Q75" s="15">
        <f t="shared" si="44"/>
        <v>12946</v>
      </c>
      <c r="R75" s="18">
        <v>0</v>
      </c>
      <c r="S75" s="15">
        <f t="shared" si="45"/>
        <v>12946</v>
      </c>
      <c r="T75" s="18">
        <v>2357.5</v>
      </c>
      <c r="U75" s="15">
        <f t="shared" si="46"/>
        <v>15303.5</v>
      </c>
      <c r="V75" s="18">
        <v>0</v>
      </c>
      <c r="W75" s="15">
        <f t="shared" si="47"/>
        <v>15303.5</v>
      </c>
      <c r="X75" s="18">
        <v>359.6</v>
      </c>
      <c r="Y75" s="15">
        <f t="shared" si="48"/>
        <v>15663.1</v>
      </c>
      <c r="Z75" s="18">
        <v>0</v>
      </c>
      <c r="AA75" s="15">
        <f t="shared" si="49"/>
        <v>15663.1</v>
      </c>
      <c r="AB75" s="18">
        <v>13868.5</v>
      </c>
      <c r="AC75" s="15">
        <f t="shared" si="50"/>
        <v>29531.6</v>
      </c>
    </row>
    <row r="76" spans="2:29" ht="15">
      <c r="B76" s="57">
        <v>2491</v>
      </c>
      <c r="C76" s="14" t="s">
        <v>115</v>
      </c>
      <c r="D76" s="58">
        <f>+PRESUPACUM!D76</f>
        <v>587613.93</v>
      </c>
      <c r="E76" s="58">
        <f>+PRESUPACUM!E76</f>
        <v>49823.709999999846</v>
      </c>
      <c r="F76" s="18">
        <v>0</v>
      </c>
      <c r="G76" s="59">
        <f t="shared" si="39"/>
        <v>0</v>
      </c>
      <c r="H76" s="18">
        <v>450.39</v>
      </c>
      <c r="I76" s="15">
        <f t="shared" si="40"/>
        <v>450.39</v>
      </c>
      <c r="J76" s="18">
        <v>1071.48</v>
      </c>
      <c r="K76" s="15">
        <f t="shared" si="41"/>
        <v>1521.87</v>
      </c>
      <c r="L76" s="18">
        <v>217.83</v>
      </c>
      <c r="M76" s="15">
        <f t="shared" si="42"/>
        <v>1739.6999999999998</v>
      </c>
      <c r="N76" s="18">
        <v>261</v>
      </c>
      <c r="O76" s="15">
        <f t="shared" si="43"/>
        <v>2000.6999999999998</v>
      </c>
      <c r="P76" s="18">
        <v>200</v>
      </c>
      <c r="Q76" s="15">
        <f t="shared" si="44"/>
        <v>2200.7</v>
      </c>
      <c r="R76" s="18">
        <v>2437.43</v>
      </c>
      <c r="S76" s="15">
        <f t="shared" si="45"/>
        <v>4638.129999999999</v>
      </c>
      <c r="T76" s="18">
        <v>292.1</v>
      </c>
      <c r="U76" s="15">
        <f t="shared" si="46"/>
        <v>4930.23</v>
      </c>
      <c r="V76" s="18">
        <v>3484.89</v>
      </c>
      <c r="W76" s="15">
        <f t="shared" si="47"/>
        <v>8415.119999999999</v>
      </c>
      <c r="X76" s="18">
        <v>0</v>
      </c>
      <c r="Y76" s="15">
        <f t="shared" si="48"/>
        <v>8415.119999999999</v>
      </c>
      <c r="Z76" s="18">
        <v>0</v>
      </c>
      <c r="AA76" s="15">
        <f t="shared" si="49"/>
        <v>8415.119999999999</v>
      </c>
      <c r="AB76" s="18">
        <v>41408.59</v>
      </c>
      <c r="AC76" s="15">
        <f t="shared" si="50"/>
        <v>49823.70999999999</v>
      </c>
    </row>
    <row r="77" spans="4:29" ht="15.75">
      <c r="D77" s="95"/>
      <c r="E77" s="95"/>
      <c r="F77" s="19"/>
      <c r="G77" s="20"/>
      <c r="H77" s="19"/>
      <c r="I77" s="20"/>
      <c r="J77" s="19"/>
      <c r="K77" s="20"/>
      <c r="L77" s="19"/>
      <c r="M77" s="15"/>
      <c r="N77" s="19"/>
      <c r="O77" s="15"/>
      <c r="P77" s="19"/>
      <c r="Q77" s="15"/>
      <c r="R77" s="19"/>
      <c r="S77" s="15"/>
      <c r="T77" s="19"/>
      <c r="U77" s="15"/>
      <c r="V77" s="19"/>
      <c r="W77" s="15"/>
      <c r="X77" s="19"/>
      <c r="Y77" s="15"/>
      <c r="Z77" s="19"/>
      <c r="AA77" s="15"/>
      <c r="AB77" s="19"/>
      <c r="AC77" s="15"/>
    </row>
    <row r="78" spans="2:29" ht="15.75">
      <c r="B78" s="69">
        <v>2500</v>
      </c>
      <c r="C78" s="67" t="s">
        <v>175</v>
      </c>
      <c r="D78" s="92">
        <f>SUM(D79:D84)</f>
        <v>120000</v>
      </c>
      <c r="E78" s="92">
        <f>SUM(E79:E84)</f>
        <v>74924.73999999999</v>
      </c>
      <c r="F78" s="92">
        <f aca="true" t="shared" si="51" ref="F78:AC78">SUM(F79:F84)</f>
        <v>0</v>
      </c>
      <c r="G78" s="92">
        <f t="shared" si="51"/>
        <v>0</v>
      </c>
      <c r="H78" s="92">
        <f>SUM(H79:H84)</f>
        <v>0</v>
      </c>
      <c r="I78" s="92">
        <f t="shared" si="51"/>
        <v>0</v>
      </c>
      <c r="J78" s="92">
        <f>SUM(J79:J84)</f>
        <v>0</v>
      </c>
      <c r="K78" s="92">
        <f t="shared" si="51"/>
        <v>0</v>
      </c>
      <c r="L78" s="92">
        <f t="shared" si="51"/>
        <v>0</v>
      </c>
      <c r="M78" s="92">
        <f t="shared" si="51"/>
        <v>0</v>
      </c>
      <c r="N78" s="92">
        <f>SUM(N79:N84)</f>
        <v>570.5999999999999</v>
      </c>
      <c r="O78" s="92">
        <f t="shared" si="51"/>
        <v>570.5999999999999</v>
      </c>
      <c r="P78" s="92">
        <f>SUM(P79:P84)</f>
        <v>47348.88</v>
      </c>
      <c r="Q78" s="92">
        <f t="shared" si="51"/>
        <v>47919.479999999996</v>
      </c>
      <c r="R78" s="92">
        <f>SUM(R79:R84)</f>
        <v>0</v>
      </c>
      <c r="S78" s="92">
        <f t="shared" si="51"/>
        <v>47919.479999999996</v>
      </c>
      <c r="T78" s="92">
        <f t="shared" si="51"/>
        <v>17665.059999999998</v>
      </c>
      <c r="U78" s="92">
        <f t="shared" si="51"/>
        <v>65584.54</v>
      </c>
      <c r="V78" s="92">
        <f>SUM(V79:V84)</f>
        <v>194.24</v>
      </c>
      <c r="W78" s="92">
        <f t="shared" si="51"/>
        <v>65778.78</v>
      </c>
      <c r="X78" s="92">
        <f>SUM(X79:X84)</f>
        <v>2724.8</v>
      </c>
      <c r="Y78" s="92">
        <f t="shared" si="51"/>
        <v>68503.57999999999</v>
      </c>
      <c r="Z78" s="92">
        <f t="shared" si="51"/>
        <v>141</v>
      </c>
      <c r="AA78" s="92">
        <f t="shared" si="51"/>
        <v>68644.57999999999</v>
      </c>
      <c r="AB78" s="92">
        <f>SUM(AB79:AB84)</f>
        <v>6280.16</v>
      </c>
      <c r="AC78" s="92">
        <f t="shared" si="51"/>
        <v>74924.73999999999</v>
      </c>
    </row>
    <row r="79" spans="2:29" ht="15">
      <c r="B79" s="57">
        <v>2511</v>
      </c>
      <c r="C79" s="26" t="s">
        <v>193</v>
      </c>
      <c r="D79" s="93">
        <f>+PRESUPACUM!D79</f>
        <v>0</v>
      </c>
      <c r="E79" s="93">
        <f>+PRESUPACUM!E79</f>
        <v>0</v>
      </c>
      <c r="F79" s="17">
        <v>0</v>
      </c>
      <c r="G79" s="59">
        <f aca="true" t="shared" si="52" ref="G79:G84">+F79</f>
        <v>0</v>
      </c>
      <c r="H79" s="17">
        <v>0</v>
      </c>
      <c r="I79" s="15">
        <f aca="true" t="shared" si="53" ref="I79:I84">+G79+H79</f>
        <v>0</v>
      </c>
      <c r="J79" s="17">
        <v>0</v>
      </c>
      <c r="K79" s="15">
        <f aca="true" t="shared" si="54" ref="K79:K84">+I79+J79</f>
        <v>0</v>
      </c>
      <c r="L79" s="17">
        <v>0</v>
      </c>
      <c r="M79" s="15">
        <f aca="true" t="shared" si="55" ref="M79:M84">+K79+L79</f>
        <v>0</v>
      </c>
      <c r="N79" s="17">
        <v>0</v>
      </c>
      <c r="O79" s="15">
        <f aca="true" t="shared" si="56" ref="O79:O84">+M79+N79</f>
        <v>0</v>
      </c>
      <c r="P79" s="17">
        <v>0</v>
      </c>
      <c r="Q79" s="15">
        <f aca="true" t="shared" si="57" ref="Q79:Q84">+O79+P79</f>
        <v>0</v>
      </c>
      <c r="R79" s="17">
        <v>0</v>
      </c>
      <c r="S79" s="15">
        <f aca="true" t="shared" si="58" ref="S79:S84">+Q79+R79</f>
        <v>0</v>
      </c>
      <c r="T79" s="17">
        <v>0</v>
      </c>
      <c r="U79" s="15">
        <f aca="true" t="shared" si="59" ref="U79:U84">+S79+T79</f>
        <v>0</v>
      </c>
      <c r="V79" s="17">
        <v>0</v>
      </c>
      <c r="W79" s="15">
        <f aca="true" t="shared" si="60" ref="W79:W84">+U79+V79</f>
        <v>0</v>
      </c>
      <c r="X79" s="17">
        <v>0</v>
      </c>
      <c r="Y79" s="15">
        <f aca="true" t="shared" si="61" ref="Y79:Y84">+W79+X79</f>
        <v>0</v>
      </c>
      <c r="Z79" s="17">
        <v>0</v>
      </c>
      <c r="AA79" s="15">
        <f aca="true" t="shared" si="62" ref="AA79:AA84">+Y79+Z79</f>
        <v>0</v>
      </c>
      <c r="AB79" s="17">
        <v>0</v>
      </c>
      <c r="AC79" s="15">
        <f aca="true" t="shared" si="63" ref="AC79:AC84">+AA79+AB79</f>
        <v>0</v>
      </c>
    </row>
    <row r="80" spans="2:29" ht="15">
      <c r="B80" s="57">
        <v>2521</v>
      </c>
      <c r="C80" s="26" t="s">
        <v>191</v>
      </c>
      <c r="D80" s="93">
        <f>+PRESUPACUM!D80</f>
        <v>0</v>
      </c>
      <c r="E80" s="93">
        <f>+PRESUPACUM!E80</f>
        <v>0</v>
      </c>
      <c r="F80" s="17">
        <v>0</v>
      </c>
      <c r="G80" s="59">
        <f t="shared" si="52"/>
        <v>0</v>
      </c>
      <c r="H80" s="17">
        <v>0</v>
      </c>
      <c r="I80" s="15">
        <f t="shared" si="53"/>
        <v>0</v>
      </c>
      <c r="J80" s="17">
        <v>0</v>
      </c>
      <c r="K80" s="15">
        <f t="shared" si="54"/>
        <v>0</v>
      </c>
      <c r="L80" s="17">
        <v>0</v>
      </c>
      <c r="M80" s="15">
        <f t="shared" si="55"/>
        <v>0</v>
      </c>
      <c r="N80" s="17">
        <v>0</v>
      </c>
      <c r="O80" s="15">
        <f t="shared" si="56"/>
        <v>0</v>
      </c>
      <c r="P80" s="17">
        <v>0</v>
      </c>
      <c r="Q80" s="15">
        <f t="shared" si="57"/>
        <v>0</v>
      </c>
      <c r="R80" s="17">
        <v>0</v>
      </c>
      <c r="S80" s="15">
        <f t="shared" si="58"/>
        <v>0</v>
      </c>
      <c r="T80" s="17">
        <v>0</v>
      </c>
      <c r="U80" s="15">
        <f t="shared" si="59"/>
        <v>0</v>
      </c>
      <c r="V80" s="17">
        <v>0</v>
      </c>
      <c r="W80" s="15">
        <f t="shared" si="60"/>
        <v>0</v>
      </c>
      <c r="X80" s="17">
        <v>0</v>
      </c>
      <c r="Y80" s="15">
        <f t="shared" si="61"/>
        <v>0</v>
      </c>
      <c r="Z80" s="17">
        <v>0</v>
      </c>
      <c r="AA80" s="15">
        <f t="shared" si="62"/>
        <v>0</v>
      </c>
      <c r="AB80" s="17">
        <v>0</v>
      </c>
      <c r="AC80" s="15">
        <f t="shared" si="63"/>
        <v>0</v>
      </c>
    </row>
    <row r="81" spans="2:29" ht="15">
      <c r="B81" s="57">
        <v>2531</v>
      </c>
      <c r="C81" s="14" t="s">
        <v>44</v>
      </c>
      <c r="D81" s="58">
        <f>+PRESUPACUM!D81</f>
        <v>70000</v>
      </c>
      <c r="E81" s="58">
        <f>+PRESUPACUM!E81</f>
        <v>16194.690000000002</v>
      </c>
      <c r="F81" s="18">
        <v>0</v>
      </c>
      <c r="G81" s="59">
        <f t="shared" si="52"/>
        <v>0</v>
      </c>
      <c r="H81" s="18">
        <v>0</v>
      </c>
      <c r="I81" s="15">
        <f t="shared" si="53"/>
        <v>0</v>
      </c>
      <c r="J81" s="18">
        <v>0</v>
      </c>
      <c r="K81" s="15">
        <f t="shared" si="54"/>
        <v>0</v>
      </c>
      <c r="L81" s="18">
        <v>0</v>
      </c>
      <c r="M81" s="15">
        <f t="shared" si="55"/>
        <v>0</v>
      </c>
      <c r="N81" s="18">
        <v>526.8</v>
      </c>
      <c r="O81" s="15">
        <f t="shared" si="56"/>
        <v>526.8</v>
      </c>
      <c r="P81" s="18">
        <v>0</v>
      </c>
      <c r="Q81" s="15">
        <f t="shared" si="57"/>
        <v>526.8</v>
      </c>
      <c r="R81" s="18">
        <v>0</v>
      </c>
      <c r="S81" s="15">
        <f t="shared" si="58"/>
        <v>526.8</v>
      </c>
      <c r="T81" s="18">
        <v>10829.48</v>
      </c>
      <c r="U81" s="15">
        <f t="shared" si="59"/>
        <v>11356.279999999999</v>
      </c>
      <c r="V81" s="18">
        <v>0</v>
      </c>
      <c r="W81" s="15">
        <f t="shared" si="60"/>
        <v>11356.279999999999</v>
      </c>
      <c r="X81" s="18">
        <v>2180.05</v>
      </c>
      <c r="Y81" s="15">
        <f t="shared" si="61"/>
        <v>13536.329999999998</v>
      </c>
      <c r="Z81" s="18">
        <v>0</v>
      </c>
      <c r="AA81" s="15">
        <f t="shared" si="62"/>
        <v>13536.329999999998</v>
      </c>
      <c r="AB81" s="18">
        <v>2658.36</v>
      </c>
      <c r="AC81" s="15">
        <f t="shared" si="63"/>
        <v>16194.689999999999</v>
      </c>
    </row>
    <row r="82" spans="2:29" ht="15">
      <c r="B82" s="57">
        <v>2541</v>
      </c>
      <c r="C82" s="14" t="s">
        <v>45</v>
      </c>
      <c r="D82" s="58">
        <f>+PRESUPACUM!D82</f>
        <v>50000</v>
      </c>
      <c r="E82" s="58">
        <f>+PRESUPACUM!E82</f>
        <v>9133.510000000002</v>
      </c>
      <c r="F82" s="18">
        <v>0</v>
      </c>
      <c r="G82" s="59">
        <f t="shared" si="52"/>
        <v>0</v>
      </c>
      <c r="H82" s="18">
        <v>0</v>
      </c>
      <c r="I82" s="15">
        <f t="shared" si="53"/>
        <v>0</v>
      </c>
      <c r="J82" s="18">
        <v>0</v>
      </c>
      <c r="K82" s="15">
        <f t="shared" si="54"/>
        <v>0</v>
      </c>
      <c r="L82" s="18">
        <v>0</v>
      </c>
      <c r="M82" s="15">
        <f t="shared" si="55"/>
        <v>0</v>
      </c>
      <c r="N82" s="18">
        <v>43.8</v>
      </c>
      <c r="O82" s="15">
        <f t="shared" si="56"/>
        <v>43.8</v>
      </c>
      <c r="P82" s="18">
        <v>0</v>
      </c>
      <c r="Q82" s="15">
        <f t="shared" si="57"/>
        <v>43.8</v>
      </c>
      <c r="R82" s="18">
        <v>0</v>
      </c>
      <c r="S82" s="15">
        <f t="shared" si="58"/>
        <v>43.8</v>
      </c>
      <c r="T82" s="18">
        <v>5043.16</v>
      </c>
      <c r="U82" s="15">
        <f t="shared" si="59"/>
        <v>5086.96</v>
      </c>
      <c r="V82" s="18">
        <v>0</v>
      </c>
      <c r="W82" s="15">
        <f t="shared" si="60"/>
        <v>5086.96</v>
      </c>
      <c r="X82" s="18">
        <v>424.75</v>
      </c>
      <c r="Y82" s="15">
        <f t="shared" si="61"/>
        <v>5511.71</v>
      </c>
      <c r="Z82" s="18">
        <v>0</v>
      </c>
      <c r="AA82" s="15">
        <f t="shared" si="62"/>
        <v>5511.71</v>
      </c>
      <c r="AB82" s="18">
        <v>3621.8</v>
      </c>
      <c r="AC82" s="15">
        <f t="shared" si="63"/>
        <v>9133.51</v>
      </c>
    </row>
    <row r="83" spans="2:29" ht="15">
      <c r="B83" s="57">
        <v>2551</v>
      </c>
      <c r="C83" s="14" t="s">
        <v>7</v>
      </c>
      <c r="D83" s="93">
        <f>+PRESUPACUM!D83</f>
        <v>0</v>
      </c>
      <c r="E83" s="93">
        <f>+PRESUPACUM!E83</f>
        <v>0</v>
      </c>
      <c r="F83" s="17">
        <v>0</v>
      </c>
      <c r="G83" s="59">
        <f t="shared" si="52"/>
        <v>0</v>
      </c>
      <c r="H83" s="17">
        <v>0</v>
      </c>
      <c r="I83" s="15">
        <f t="shared" si="53"/>
        <v>0</v>
      </c>
      <c r="J83" s="17">
        <v>0</v>
      </c>
      <c r="K83" s="15">
        <f t="shared" si="54"/>
        <v>0</v>
      </c>
      <c r="L83" s="17">
        <v>0</v>
      </c>
      <c r="M83" s="15">
        <f t="shared" si="55"/>
        <v>0</v>
      </c>
      <c r="N83" s="17">
        <v>0</v>
      </c>
      <c r="O83" s="15">
        <f t="shared" si="56"/>
        <v>0</v>
      </c>
      <c r="P83" s="17">
        <v>0</v>
      </c>
      <c r="Q83" s="15">
        <f t="shared" si="57"/>
        <v>0</v>
      </c>
      <c r="R83" s="17">
        <v>0</v>
      </c>
      <c r="S83" s="15">
        <f t="shared" si="58"/>
        <v>0</v>
      </c>
      <c r="T83" s="17">
        <v>0</v>
      </c>
      <c r="U83" s="15">
        <f t="shared" si="59"/>
        <v>0</v>
      </c>
      <c r="V83" s="17">
        <v>0</v>
      </c>
      <c r="W83" s="15">
        <f t="shared" si="60"/>
        <v>0</v>
      </c>
      <c r="X83" s="17">
        <v>0</v>
      </c>
      <c r="Y83" s="15">
        <f t="shared" si="61"/>
        <v>0</v>
      </c>
      <c r="Z83" s="17">
        <v>0</v>
      </c>
      <c r="AA83" s="15">
        <f t="shared" si="62"/>
        <v>0</v>
      </c>
      <c r="AB83" s="17">
        <v>0</v>
      </c>
      <c r="AC83" s="15">
        <f t="shared" si="63"/>
        <v>0</v>
      </c>
    </row>
    <row r="84" spans="2:29" ht="15">
      <c r="B84" s="57">
        <v>2561</v>
      </c>
      <c r="C84" s="14" t="s">
        <v>194</v>
      </c>
      <c r="D84" s="93">
        <f>+PRESUPACUM!D84</f>
        <v>0</v>
      </c>
      <c r="E84" s="93">
        <f>+PRESUPACUM!E84</f>
        <v>49596.53999999999</v>
      </c>
      <c r="F84" s="17">
        <v>0</v>
      </c>
      <c r="G84" s="59">
        <f t="shared" si="52"/>
        <v>0</v>
      </c>
      <c r="H84" s="17">
        <v>0</v>
      </c>
      <c r="I84" s="15">
        <f t="shared" si="53"/>
        <v>0</v>
      </c>
      <c r="J84" s="17">
        <v>0</v>
      </c>
      <c r="K84" s="15">
        <f t="shared" si="54"/>
        <v>0</v>
      </c>
      <c r="L84" s="17">
        <v>0</v>
      </c>
      <c r="M84" s="15">
        <f t="shared" si="55"/>
        <v>0</v>
      </c>
      <c r="N84" s="17">
        <v>0</v>
      </c>
      <c r="O84" s="15">
        <f t="shared" si="56"/>
        <v>0</v>
      </c>
      <c r="P84" s="17">
        <v>47348.88</v>
      </c>
      <c r="Q84" s="15">
        <f t="shared" si="57"/>
        <v>47348.88</v>
      </c>
      <c r="R84" s="17">
        <v>0</v>
      </c>
      <c r="S84" s="15">
        <f t="shared" si="58"/>
        <v>47348.88</v>
      </c>
      <c r="T84" s="17">
        <v>1792.42</v>
      </c>
      <c r="U84" s="15">
        <f t="shared" si="59"/>
        <v>49141.299999999996</v>
      </c>
      <c r="V84" s="17">
        <v>194.24</v>
      </c>
      <c r="W84" s="15">
        <f t="shared" si="60"/>
        <v>49335.53999999999</v>
      </c>
      <c r="X84" s="17">
        <v>120</v>
      </c>
      <c r="Y84" s="15">
        <f t="shared" si="61"/>
        <v>49455.53999999999</v>
      </c>
      <c r="Z84" s="17">
        <v>141</v>
      </c>
      <c r="AA84" s="15">
        <f t="shared" si="62"/>
        <v>49596.53999999999</v>
      </c>
      <c r="AB84" s="17">
        <v>0</v>
      </c>
      <c r="AC84" s="15">
        <f t="shared" si="63"/>
        <v>49596.53999999999</v>
      </c>
    </row>
    <row r="85" spans="4:29" ht="15">
      <c r="D85" s="58"/>
      <c r="E85" s="58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2:29" ht="15.75">
      <c r="B86" s="69">
        <v>2600</v>
      </c>
      <c r="C86" s="67" t="s">
        <v>14</v>
      </c>
      <c r="D86" s="92">
        <f aca="true" t="shared" si="64" ref="D86:AC86">SUM(D87:D87)</f>
        <v>300000</v>
      </c>
      <c r="E86" s="92">
        <f t="shared" si="64"/>
        <v>208037.99000000002</v>
      </c>
      <c r="F86" s="70">
        <f t="shared" si="64"/>
        <v>0</v>
      </c>
      <c r="G86" s="70">
        <f t="shared" si="64"/>
        <v>0</v>
      </c>
      <c r="H86" s="70">
        <f t="shared" si="64"/>
        <v>0</v>
      </c>
      <c r="I86" s="70">
        <f t="shared" si="64"/>
        <v>0</v>
      </c>
      <c r="J86" s="70">
        <f t="shared" si="64"/>
        <v>0</v>
      </c>
      <c r="K86" s="70">
        <f t="shared" si="64"/>
        <v>0</v>
      </c>
      <c r="L86" s="70">
        <f t="shared" si="64"/>
        <v>188000</v>
      </c>
      <c r="M86" s="70">
        <f t="shared" si="64"/>
        <v>188000</v>
      </c>
      <c r="N86" s="70">
        <f t="shared" si="64"/>
        <v>0</v>
      </c>
      <c r="O86" s="70">
        <f t="shared" si="64"/>
        <v>188000</v>
      </c>
      <c r="P86" s="70">
        <f t="shared" si="64"/>
        <v>0</v>
      </c>
      <c r="Q86" s="70">
        <f t="shared" si="64"/>
        <v>188000</v>
      </c>
      <c r="R86" s="70">
        <f t="shared" si="64"/>
        <v>0</v>
      </c>
      <c r="S86" s="70">
        <f t="shared" si="64"/>
        <v>188000</v>
      </c>
      <c r="T86" s="70">
        <f t="shared" si="64"/>
        <v>37.99</v>
      </c>
      <c r="U86" s="70">
        <f t="shared" si="64"/>
        <v>188037.99</v>
      </c>
      <c r="V86" s="70">
        <f t="shared" si="64"/>
        <v>0</v>
      </c>
      <c r="W86" s="70">
        <f t="shared" si="64"/>
        <v>188037.99</v>
      </c>
      <c r="X86" s="70">
        <f t="shared" si="64"/>
        <v>0</v>
      </c>
      <c r="Y86" s="70">
        <f t="shared" si="64"/>
        <v>188037.99</v>
      </c>
      <c r="Z86" s="70">
        <f t="shared" si="64"/>
        <v>0</v>
      </c>
      <c r="AA86" s="70">
        <f t="shared" si="64"/>
        <v>188037.99</v>
      </c>
      <c r="AB86" s="70">
        <f t="shared" si="64"/>
        <v>20000</v>
      </c>
      <c r="AC86" s="70">
        <f t="shared" si="64"/>
        <v>208037.99</v>
      </c>
    </row>
    <row r="87" spans="2:29" ht="15">
      <c r="B87" s="78">
        <v>2611</v>
      </c>
      <c r="C87" s="8" t="s">
        <v>116</v>
      </c>
      <c r="D87" s="58">
        <f>+PRESUPACUM!D87</f>
        <v>300000</v>
      </c>
      <c r="E87" s="58">
        <f>+PRESUPACUM!E87</f>
        <v>208037.99000000002</v>
      </c>
      <c r="F87" s="18">
        <v>0</v>
      </c>
      <c r="G87" s="59">
        <f>+F87</f>
        <v>0</v>
      </c>
      <c r="H87" s="18">
        <v>0</v>
      </c>
      <c r="I87" s="15">
        <f>+G87+H87</f>
        <v>0</v>
      </c>
      <c r="J87" s="18">
        <v>0</v>
      </c>
      <c r="K87" s="15">
        <f>+I87+J87</f>
        <v>0</v>
      </c>
      <c r="L87" s="18">
        <v>188000</v>
      </c>
      <c r="M87" s="15">
        <f>+K87+L87</f>
        <v>188000</v>
      </c>
      <c r="N87" s="18">
        <v>0</v>
      </c>
      <c r="O87" s="15">
        <f>+M87+N87</f>
        <v>188000</v>
      </c>
      <c r="P87" s="18">
        <v>0</v>
      </c>
      <c r="Q87" s="15">
        <f>+O87+P87</f>
        <v>188000</v>
      </c>
      <c r="R87" s="18">
        <v>0</v>
      </c>
      <c r="S87" s="15">
        <f>+Q87+R87</f>
        <v>188000</v>
      </c>
      <c r="T87" s="18">
        <v>37.99</v>
      </c>
      <c r="U87" s="15">
        <f>+S87+T87</f>
        <v>188037.99</v>
      </c>
      <c r="V87" s="18">
        <v>0</v>
      </c>
      <c r="W87" s="15">
        <f>+U87+V87</f>
        <v>188037.99</v>
      </c>
      <c r="X87" s="18">
        <v>0</v>
      </c>
      <c r="Y87" s="15">
        <f>+W87+X87</f>
        <v>188037.99</v>
      </c>
      <c r="Z87" s="18">
        <v>0</v>
      </c>
      <c r="AA87" s="15">
        <f>+Y87+Z87</f>
        <v>188037.99</v>
      </c>
      <c r="AB87" s="18">
        <v>20000</v>
      </c>
      <c r="AC87" s="15">
        <f>+AA87+AB87</f>
        <v>208037.99</v>
      </c>
    </row>
    <row r="88" spans="4:29" ht="15.75">
      <c r="D88" s="58"/>
      <c r="E88" s="58"/>
      <c r="F88" s="15"/>
      <c r="G88" s="15"/>
      <c r="H88" s="15"/>
      <c r="I88" s="2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2:29" ht="15.75">
      <c r="B89" s="69">
        <v>2700</v>
      </c>
      <c r="C89" s="67" t="s">
        <v>13</v>
      </c>
      <c r="D89" s="92">
        <f>SUM(D90:D93)</f>
        <v>54047.76</v>
      </c>
      <c r="E89" s="92">
        <f aca="true" t="shared" si="65" ref="E89:AC89">SUM(E90:E93)</f>
        <v>14578.17</v>
      </c>
      <c r="F89" s="92">
        <f t="shared" si="65"/>
        <v>0</v>
      </c>
      <c r="G89" s="92">
        <f t="shared" si="65"/>
        <v>0</v>
      </c>
      <c r="H89" s="92">
        <f t="shared" si="65"/>
        <v>0</v>
      </c>
      <c r="I89" s="92">
        <f t="shared" si="65"/>
        <v>0</v>
      </c>
      <c r="J89" s="92">
        <f t="shared" si="65"/>
        <v>0</v>
      </c>
      <c r="K89" s="92">
        <f t="shared" si="65"/>
        <v>0</v>
      </c>
      <c r="L89" s="92">
        <f t="shared" si="65"/>
        <v>0</v>
      </c>
      <c r="M89" s="92">
        <f t="shared" si="65"/>
        <v>0</v>
      </c>
      <c r="N89" s="92">
        <f t="shared" si="65"/>
        <v>69.6</v>
      </c>
      <c r="O89" s="92">
        <f t="shared" si="65"/>
        <v>69.6</v>
      </c>
      <c r="P89" s="92">
        <f t="shared" si="65"/>
        <v>0</v>
      </c>
      <c r="Q89" s="92">
        <f t="shared" si="65"/>
        <v>69.6</v>
      </c>
      <c r="R89" s="92">
        <f t="shared" si="65"/>
        <v>1084.12</v>
      </c>
      <c r="S89" s="92">
        <f t="shared" si="65"/>
        <v>1153.7199999999998</v>
      </c>
      <c r="T89" s="92">
        <f t="shared" si="65"/>
        <v>0</v>
      </c>
      <c r="U89" s="92">
        <f t="shared" si="65"/>
        <v>1153.7199999999998</v>
      </c>
      <c r="V89" s="92">
        <f t="shared" si="65"/>
        <v>0</v>
      </c>
      <c r="W89" s="92">
        <f t="shared" si="65"/>
        <v>1153.7199999999998</v>
      </c>
      <c r="X89" s="92">
        <f t="shared" si="65"/>
        <v>4466</v>
      </c>
      <c r="Y89" s="92">
        <f t="shared" si="65"/>
        <v>5619.719999999999</v>
      </c>
      <c r="Z89" s="92">
        <f t="shared" si="65"/>
        <v>0</v>
      </c>
      <c r="AA89" s="92">
        <f t="shared" si="65"/>
        <v>5619.719999999999</v>
      </c>
      <c r="AB89" s="92">
        <f t="shared" si="65"/>
        <v>8958.45</v>
      </c>
      <c r="AC89" s="92">
        <f t="shared" si="65"/>
        <v>14578.17</v>
      </c>
    </row>
    <row r="90" spans="2:29" ht="15">
      <c r="B90" s="57">
        <v>2711</v>
      </c>
      <c r="C90" s="14" t="s">
        <v>117</v>
      </c>
      <c r="D90" s="58">
        <f>+PRESUPACUM!D90</f>
        <v>0</v>
      </c>
      <c r="E90" s="58">
        <f>+PRESUPACUM!E90</f>
        <v>0</v>
      </c>
      <c r="F90" s="18">
        <v>0</v>
      </c>
      <c r="G90" s="59">
        <f>+F90</f>
        <v>0</v>
      </c>
      <c r="H90" s="18">
        <v>0</v>
      </c>
      <c r="I90" s="15">
        <f>+G90+H90</f>
        <v>0</v>
      </c>
      <c r="J90" s="18">
        <v>0</v>
      </c>
      <c r="K90" s="15">
        <f>+I90+J90</f>
        <v>0</v>
      </c>
      <c r="L90" s="18">
        <v>0</v>
      </c>
      <c r="M90" s="15">
        <f>+K90+L90</f>
        <v>0</v>
      </c>
      <c r="N90" s="18">
        <v>0</v>
      </c>
      <c r="O90" s="15">
        <f>+M90+N90</f>
        <v>0</v>
      </c>
      <c r="P90" s="18">
        <v>0</v>
      </c>
      <c r="Q90" s="15">
        <f>+O90+P90</f>
        <v>0</v>
      </c>
      <c r="R90" s="18">
        <v>0</v>
      </c>
      <c r="S90" s="15">
        <f>+Q90+R90</f>
        <v>0</v>
      </c>
      <c r="T90" s="18">
        <v>0</v>
      </c>
      <c r="U90" s="15">
        <f>+S90+T90</f>
        <v>0</v>
      </c>
      <c r="V90" s="18">
        <v>0</v>
      </c>
      <c r="W90" s="15">
        <f>+U90+V90</f>
        <v>0</v>
      </c>
      <c r="X90" s="18">
        <v>0</v>
      </c>
      <c r="Y90" s="15">
        <f>+W90+X90</f>
        <v>0</v>
      </c>
      <c r="Z90" s="18">
        <v>0</v>
      </c>
      <c r="AA90" s="15">
        <f>+Y90+Z90</f>
        <v>0</v>
      </c>
      <c r="AB90" s="18">
        <v>0</v>
      </c>
      <c r="AC90" s="15">
        <f>+AA90+AB90</f>
        <v>0</v>
      </c>
    </row>
    <row r="91" spans="2:29" ht="15">
      <c r="B91" s="8">
        <v>2721</v>
      </c>
      <c r="C91" s="8" t="s">
        <v>118</v>
      </c>
      <c r="D91" s="58">
        <f>+PRESUPACUM!D91</f>
        <v>54047.76</v>
      </c>
      <c r="E91" s="58">
        <f>+PRESUPACUM!E91</f>
        <v>10042.57</v>
      </c>
      <c r="F91" s="18">
        <v>0</v>
      </c>
      <c r="G91" s="59">
        <f>+F91</f>
        <v>0</v>
      </c>
      <c r="H91" s="18">
        <v>0</v>
      </c>
      <c r="I91" s="15">
        <f>+G91+H91</f>
        <v>0</v>
      </c>
      <c r="J91" s="18">
        <v>0</v>
      </c>
      <c r="K91" s="15">
        <f>+I91+J91</f>
        <v>0</v>
      </c>
      <c r="L91" s="18">
        <v>0</v>
      </c>
      <c r="M91" s="15">
        <f>+K91+L91</f>
        <v>0</v>
      </c>
      <c r="N91" s="18">
        <v>0</v>
      </c>
      <c r="O91" s="15">
        <f>+M91+N91</f>
        <v>0</v>
      </c>
      <c r="P91" s="18">
        <v>0</v>
      </c>
      <c r="Q91" s="15">
        <f>+O91+P91</f>
        <v>0</v>
      </c>
      <c r="R91" s="18">
        <v>1084.12</v>
      </c>
      <c r="S91" s="15">
        <f>+Q91+R91</f>
        <v>1084.12</v>
      </c>
      <c r="T91" s="18">
        <v>0</v>
      </c>
      <c r="U91" s="15">
        <f>+S91+T91</f>
        <v>1084.12</v>
      </c>
      <c r="V91" s="18">
        <v>0</v>
      </c>
      <c r="W91" s="15">
        <f>+U91+V91</f>
        <v>1084.12</v>
      </c>
      <c r="X91" s="18">
        <v>0</v>
      </c>
      <c r="Y91" s="15">
        <f>+W91+X91</f>
        <v>1084.12</v>
      </c>
      <c r="Z91" s="18">
        <v>0</v>
      </c>
      <c r="AA91" s="15">
        <f>+Y91+Z91</f>
        <v>1084.12</v>
      </c>
      <c r="AB91" s="18">
        <v>8958.45</v>
      </c>
      <c r="AC91" s="15">
        <f>+AA91+AB91</f>
        <v>10042.57</v>
      </c>
    </row>
    <row r="92" spans="2:29" ht="15">
      <c r="B92" s="8">
        <v>2741</v>
      </c>
      <c r="C92" s="8" t="s">
        <v>232</v>
      </c>
      <c r="D92" s="58">
        <f>+PRESUPACUM!D92</f>
        <v>0</v>
      </c>
      <c r="E92" s="58">
        <f>+PRESUPACUM!E92</f>
        <v>69.6</v>
      </c>
      <c r="F92" s="18">
        <v>0</v>
      </c>
      <c r="G92" s="59">
        <f>+F92</f>
        <v>0</v>
      </c>
      <c r="H92" s="18">
        <v>0</v>
      </c>
      <c r="I92" s="15">
        <f>+G92+H92</f>
        <v>0</v>
      </c>
      <c r="J92" s="18">
        <v>0</v>
      </c>
      <c r="K92" s="15">
        <f>+I92+J92</f>
        <v>0</v>
      </c>
      <c r="L92" s="18">
        <v>0</v>
      </c>
      <c r="M92" s="15">
        <f>+K92+L92</f>
        <v>0</v>
      </c>
      <c r="N92" s="18">
        <v>69.6</v>
      </c>
      <c r="O92" s="15">
        <f>+M92+N92</f>
        <v>69.6</v>
      </c>
      <c r="P92" s="18">
        <v>0</v>
      </c>
      <c r="Q92" s="15">
        <f>+O92+P92</f>
        <v>69.6</v>
      </c>
      <c r="R92" s="18">
        <v>0</v>
      </c>
      <c r="S92" s="15">
        <f>+Q92+R92</f>
        <v>69.6</v>
      </c>
      <c r="T92" s="18">
        <v>0</v>
      </c>
      <c r="U92" s="15">
        <f>+S92+T92</f>
        <v>69.6</v>
      </c>
      <c r="V92" s="18">
        <v>0</v>
      </c>
      <c r="W92" s="15">
        <f>+U92+V92</f>
        <v>69.6</v>
      </c>
      <c r="X92" s="18">
        <v>0</v>
      </c>
      <c r="Y92" s="15">
        <f>+W92+X92</f>
        <v>69.6</v>
      </c>
      <c r="Z92" s="18">
        <v>0</v>
      </c>
      <c r="AA92" s="15">
        <f>+Y92+Z92</f>
        <v>69.6</v>
      </c>
      <c r="AB92" s="18">
        <v>0</v>
      </c>
      <c r="AC92" s="15">
        <f>+AA92+AB92</f>
        <v>69.6</v>
      </c>
    </row>
    <row r="93" spans="2:29" ht="15">
      <c r="B93" s="8">
        <v>2751</v>
      </c>
      <c r="C93" s="8" t="s">
        <v>243</v>
      </c>
      <c r="D93" s="58">
        <f>+PRESUPACUM!D93</f>
        <v>0</v>
      </c>
      <c r="E93" s="58">
        <f>+PRESUPACUM!E93</f>
        <v>4466</v>
      </c>
      <c r="F93" s="18">
        <v>0</v>
      </c>
      <c r="G93" s="59">
        <f>+F93</f>
        <v>0</v>
      </c>
      <c r="H93" s="18">
        <v>0</v>
      </c>
      <c r="I93" s="15">
        <f>+G93+H93</f>
        <v>0</v>
      </c>
      <c r="J93" s="18">
        <v>0</v>
      </c>
      <c r="K93" s="15">
        <f>+I93+J93</f>
        <v>0</v>
      </c>
      <c r="L93" s="18">
        <v>0</v>
      </c>
      <c r="M93" s="15">
        <f>+K93+L93</f>
        <v>0</v>
      </c>
      <c r="N93" s="18">
        <v>0</v>
      </c>
      <c r="O93" s="15">
        <f>+M93+N93</f>
        <v>0</v>
      </c>
      <c r="P93" s="18">
        <v>0</v>
      </c>
      <c r="Q93" s="15">
        <f>+O93+P93</f>
        <v>0</v>
      </c>
      <c r="R93" s="18">
        <v>0</v>
      </c>
      <c r="S93" s="15">
        <f>+Q93+R93</f>
        <v>0</v>
      </c>
      <c r="T93" s="18">
        <v>0</v>
      </c>
      <c r="U93" s="15">
        <f>+S93+T93</f>
        <v>0</v>
      </c>
      <c r="V93" s="18">
        <v>0</v>
      </c>
      <c r="W93" s="15">
        <f>+U93+V93</f>
        <v>0</v>
      </c>
      <c r="X93" s="18">
        <v>4466</v>
      </c>
      <c r="Y93" s="15">
        <f>+W93+X93</f>
        <v>4466</v>
      </c>
      <c r="Z93" s="18">
        <v>0</v>
      </c>
      <c r="AA93" s="15">
        <f>+Y93+Z93</f>
        <v>4466</v>
      </c>
      <c r="AB93" s="18">
        <v>0</v>
      </c>
      <c r="AC93" s="15">
        <f>+AA93+AB93</f>
        <v>4466</v>
      </c>
    </row>
    <row r="94" spans="4:29" ht="15">
      <c r="D94" s="58"/>
      <c r="E94" s="58"/>
      <c r="F94" s="18"/>
      <c r="G94" s="59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8"/>
      <c r="AA94" s="15"/>
      <c r="AB94" s="18"/>
      <c r="AC94" s="15"/>
    </row>
    <row r="95" spans="2:29" ht="15.75">
      <c r="B95" s="16">
        <v>2900</v>
      </c>
      <c r="C95" s="77" t="s">
        <v>176</v>
      </c>
      <c r="D95" s="92">
        <f>SUM(D96:D101)</f>
        <v>258638.8</v>
      </c>
      <c r="E95" s="92">
        <f>SUM(E96:E101)</f>
        <v>51244.55</v>
      </c>
      <c r="F95" s="92">
        <f aca="true" t="shared" si="66" ref="F95:AC95">SUM(F96:F101)</f>
        <v>0</v>
      </c>
      <c r="G95" s="92">
        <f t="shared" si="66"/>
        <v>0</v>
      </c>
      <c r="H95" s="92">
        <f>SUM(H96:H101)</f>
        <v>278.01</v>
      </c>
      <c r="I95" s="92">
        <f t="shared" si="66"/>
        <v>278.01</v>
      </c>
      <c r="J95" s="92">
        <f>SUM(J96:J101)</f>
        <v>152</v>
      </c>
      <c r="K95" s="92">
        <f t="shared" si="66"/>
        <v>430.01</v>
      </c>
      <c r="L95" s="92">
        <f t="shared" si="66"/>
        <v>760.05</v>
      </c>
      <c r="M95" s="92">
        <f t="shared" si="66"/>
        <v>1190.06</v>
      </c>
      <c r="N95" s="92">
        <f>SUM(N96:N101)</f>
        <v>1972</v>
      </c>
      <c r="O95" s="92">
        <f t="shared" si="66"/>
        <v>3162.06</v>
      </c>
      <c r="P95" s="92">
        <f>SUM(P96:P101)</f>
        <v>25585.8</v>
      </c>
      <c r="Q95" s="92">
        <f t="shared" si="66"/>
        <v>28747.86</v>
      </c>
      <c r="R95" s="92">
        <f>SUM(R96:R101)</f>
        <v>1065.4299999999998</v>
      </c>
      <c r="S95" s="92">
        <f t="shared" si="66"/>
        <v>29813.29</v>
      </c>
      <c r="T95" s="92">
        <f t="shared" si="66"/>
        <v>2003.8</v>
      </c>
      <c r="U95" s="92">
        <f t="shared" si="66"/>
        <v>31817.09</v>
      </c>
      <c r="V95" s="92">
        <f>SUM(V96:V101)</f>
        <v>5558.780000000001</v>
      </c>
      <c r="W95" s="92">
        <f t="shared" si="66"/>
        <v>37375.87</v>
      </c>
      <c r="X95" s="92">
        <f>SUM(X96:X101)</f>
        <v>0</v>
      </c>
      <c r="Y95" s="92">
        <f t="shared" si="66"/>
        <v>37375.87</v>
      </c>
      <c r="Z95" s="92">
        <f t="shared" si="66"/>
        <v>4097.88</v>
      </c>
      <c r="AA95" s="92">
        <f t="shared" si="66"/>
        <v>41473.75</v>
      </c>
      <c r="AB95" s="92">
        <f>SUM(AB96:AB101)</f>
        <v>9770.800000000001</v>
      </c>
      <c r="AC95" s="92">
        <f t="shared" si="66"/>
        <v>51244.55</v>
      </c>
    </row>
    <row r="96" spans="2:29" ht="15">
      <c r="B96" s="8">
        <v>2911</v>
      </c>
      <c r="C96" s="40" t="s">
        <v>120</v>
      </c>
      <c r="D96" s="58">
        <f>+PRESUPACUM!D96</f>
        <v>105032</v>
      </c>
      <c r="E96" s="58">
        <f>+PRESUPACUM!E96</f>
        <v>4876.9100000000035</v>
      </c>
      <c r="F96" s="18">
        <v>0</v>
      </c>
      <c r="G96" s="59">
        <f aca="true" t="shared" si="67" ref="G96:G101">+F96</f>
        <v>0</v>
      </c>
      <c r="H96" s="18">
        <v>0</v>
      </c>
      <c r="I96" s="15">
        <f aca="true" t="shared" si="68" ref="I96:I101">+G96+H96</f>
        <v>0</v>
      </c>
      <c r="J96" s="18">
        <v>152</v>
      </c>
      <c r="K96" s="15">
        <f aca="true" t="shared" si="69" ref="K96:K101">+I96+J96</f>
        <v>152</v>
      </c>
      <c r="L96" s="18">
        <v>0</v>
      </c>
      <c r="M96" s="15">
        <f aca="true" t="shared" si="70" ref="M96:M101">+K96+L96</f>
        <v>152</v>
      </c>
      <c r="N96" s="18">
        <v>0</v>
      </c>
      <c r="O96" s="15">
        <f aca="true" t="shared" si="71" ref="O96:O101">+M96+N96</f>
        <v>152</v>
      </c>
      <c r="P96" s="18">
        <v>205</v>
      </c>
      <c r="Q96" s="15">
        <f aca="true" t="shared" si="72" ref="Q96:Q101">+O96+P96</f>
        <v>357</v>
      </c>
      <c r="R96" s="18">
        <v>149.5</v>
      </c>
      <c r="S96" s="15">
        <f aca="true" t="shared" si="73" ref="S96:S101">+Q96+R96</f>
        <v>506.5</v>
      </c>
      <c r="T96" s="18">
        <v>0</v>
      </c>
      <c r="U96" s="15">
        <f aca="true" t="shared" si="74" ref="U96:U101">+S96+T96</f>
        <v>506.5</v>
      </c>
      <c r="V96" s="18">
        <v>2716.78</v>
      </c>
      <c r="W96" s="15">
        <f aca="true" t="shared" si="75" ref="W96:W101">+U96+V96</f>
        <v>3223.28</v>
      </c>
      <c r="X96" s="18">
        <v>0</v>
      </c>
      <c r="Y96" s="15">
        <f aca="true" t="shared" si="76" ref="Y96:Y101">+W96+X96</f>
        <v>3223.28</v>
      </c>
      <c r="Z96" s="18">
        <v>0</v>
      </c>
      <c r="AA96" s="15">
        <f aca="true" t="shared" si="77" ref="AA96:AA101">+Y96+Z96</f>
        <v>3223.28</v>
      </c>
      <c r="AB96" s="18">
        <v>1653.63</v>
      </c>
      <c r="AC96" s="15">
        <f aca="true" t="shared" si="78" ref="AC96:AC101">+AA96+AB96</f>
        <v>4876.91</v>
      </c>
    </row>
    <row r="97" spans="2:29" ht="15">
      <c r="B97" s="8">
        <v>2921</v>
      </c>
      <c r="C97" s="40" t="s">
        <v>121</v>
      </c>
      <c r="D97" s="58">
        <f>+PRESUPACUM!D97</f>
        <v>37606.8</v>
      </c>
      <c r="E97" s="58">
        <f>+PRESUPACUM!E97</f>
        <v>9376.020000000008</v>
      </c>
      <c r="F97" s="18">
        <v>0</v>
      </c>
      <c r="G97" s="59">
        <f t="shared" si="67"/>
        <v>0</v>
      </c>
      <c r="H97" s="18">
        <v>278.01</v>
      </c>
      <c r="I97" s="15">
        <f t="shared" si="68"/>
        <v>278.01</v>
      </c>
      <c r="J97" s="18">
        <v>0</v>
      </c>
      <c r="K97" s="15">
        <f t="shared" si="69"/>
        <v>278.01</v>
      </c>
      <c r="L97" s="18">
        <v>760.05</v>
      </c>
      <c r="M97" s="15">
        <f t="shared" si="70"/>
        <v>1038.06</v>
      </c>
      <c r="N97" s="18">
        <v>0</v>
      </c>
      <c r="O97" s="15">
        <f t="shared" si="71"/>
        <v>1038.06</v>
      </c>
      <c r="P97" s="18">
        <v>0</v>
      </c>
      <c r="Q97" s="15">
        <f t="shared" si="72"/>
        <v>1038.06</v>
      </c>
      <c r="R97" s="18">
        <v>915.93</v>
      </c>
      <c r="S97" s="15">
        <f t="shared" si="73"/>
        <v>1953.9899999999998</v>
      </c>
      <c r="T97" s="18">
        <v>0</v>
      </c>
      <c r="U97" s="15">
        <f t="shared" si="74"/>
        <v>1953.9899999999998</v>
      </c>
      <c r="V97" s="18">
        <v>0</v>
      </c>
      <c r="W97" s="15">
        <f t="shared" si="75"/>
        <v>1953.9899999999998</v>
      </c>
      <c r="X97" s="18">
        <v>0</v>
      </c>
      <c r="Y97" s="15">
        <f t="shared" si="76"/>
        <v>1953.9899999999998</v>
      </c>
      <c r="Z97" s="18">
        <v>3749.88</v>
      </c>
      <c r="AA97" s="15">
        <f t="shared" si="77"/>
        <v>5703.87</v>
      </c>
      <c r="AB97" s="18">
        <v>3672.15</v>
      </c>
      <c r="AC97" s="15">
        <f t="shared" si="78"/>
        <v>9376.02</v>
      </c>
    </row>
    <row r="98" spans="2:29" ht="15">
      <c r="B98" s="8">
        <v>2931</v>
      </c>
      <c r="C98" s="40" t="s">
        <v>122</v>
      </c>
      <c r="D98" s="58">
        <f>+PRESUPACUM!D98</f>
        <v>0</v>
      </c>
      <c r="E98" s="58">
        <f>+PRESUPACUM!E98</f>
        <v>2818.8</v>
      </c>
      <c r="F98" s="18">
        <v>0</v>
      </c>
      <c r="G98" s="59">
        <f t="shared" si="67"/>
        <v>0</v>
      </c>
      <c r="H98" s="18">
        <v>0</v>
      </c>
      <c r="I98" s="15">
        <f t="shared" si="68"/>
        <v>0</v>
      </c>
      <c r="J98" s="18">
        <v>0</v>
      </c>
      <c r="K98" s="15">
        <f t="shared" si="69"/>
        <v>0</v>
      </c>
      <c r="L98" s="18">
        <v>0</v>
      </c>
      <c r="M98" s="15">
        <f t="shared" si="70"/>
        <v>0</v>
      </c>
      <c r="N98" s="18">
        <v>0</v>
      </c>
      <c r="O98" s="15">
        <f t="shared" si="71"/>
        <v>0</v>
      </c>
      <c r="P98" s="18">
        <v>0</v>
      </c>
      <c r="Q98" s="15">
        <f t="shared" si="72"/>
        <v>0</v>
      </c>
      <c r="R98" s="18">
        <v>0</v>
      </c>
      <c r="S98" s="15">
        <f t="shared" si="73"/>
        <v>0</v>
      </c>
      <c r="T98" s="18">
        <v>0</v>
      </c>
      <c r="U98" s="15">
        <f t="shared" si="74"/>
        <v>0</v>
      </c>
      <c r="V98" s="18">
        <v>0</v>
      </c>
      <c r="W98" s="15">
        <f t="shared" si="75"/>
        <v>0</v>
      </c>
      <c r="X98" s="18">
        <v>0</v>
      </c>
      <c r="Y98" s="15">
        <f t="shared" si="76"/>
        <v>0</v>
      </c>
      <c r="Z98" s="18">
        <v>348</v>
      </c>
      <c r="AA98" s="15">
        <f t="shared" si="77"/>
        <v>348</v>
      </c>
      <c r="AB98" s="18">
        <v>2470.8</v>
      </c>
      <c r="AC98" s="15">
        <f t="shared" si="78"/>
        <v>2818.8</v>
      </c>
    </row>
    <row r="99" spans="2:29" ht="15">
      <c r="B99" s="8">
        <v>2941</v>
      </c>
      <c r="C99" s="8" t="s">
        <v>119</v>
      </c>
      <c r="D99" s="58">
        <f>+PRESUPACUM!D99</f>
        <v>116000</v>
      </c>
      <c r="E99" s="58">
        <f>+PRESUPACUM!E99</f>
        <v>27648.019999999993</v>
      </c>
      <c r="F99" s="18">
        <v>0</v>
      </c>
      <c r="G99" s="59">
        <f t="shared" si="67"/>
        <v>0</v>
      </c>
      <c r="H99" s="18">
        <v>0</v>
      </c>
      <c r="I99" s="15">
        <f t="shared" si="68"/>
        <v>0</v>
      </c>
      <c r="J99" s="18">
        <v>0</v>
      </c>
      <c r="K99" s="15">
        <f t="shared" si="69"/>
        <v>0</v>
      </c>
      <c r="L99" s="18">
        <v>0</v>
      </c>
      <c r="M99" s="15">
        <f t="shared" si="70"/>
        <v>0</v>
      </c>
      <c r="N99" s="18">
        <v>1972</v>
      </c>
      <c r="O99" s="15">
        <f t="shared" si="71"/>
        <v>1972</v>
      </c>
      <c r="P99" s="18">
        <v>25380.8</v>
      </c>
      <c r="Q99" s="15">
        <f t="shared" si="72"/>
        <v>27352.8</v>
      </c>
      <c r="R99" s="18">
        <v>0</v>
      </c>
      <c r="S99" s="15">
        <f t="shared" si="73"/>
        <v>27352.8</v>
      </c>
      <c r="T99" s="18">
        <v>0</v>
      </c>
      <c r="U99" s="15">
        <f t="shared" si="74"/>
        <v>27352.8</v>
      </c>
      <c r="V99" s="18">
        <v>0</v>
      </c>
      <c r="W99" s="15">
        <f t="shared" si="75"/>
        <v>27352.8</v>
      </c>
      <c r="X99" s="18">
        <v>0</v>
      </c>
      <c r="Y99" s="15">
        <f t="shared" si="76"/>
        <v>27352.8</v>
      </c>
      <c r="Z99" s="18">
        <v>0</v>
      </c>
      <c r="AA99" s="15">
        <f t="shared" si="77"/>
        <v>27352.8</v>
      </c>
      <c r="AB99" s="18">
        <v>295.22</v>
      </c>
      <c r="AC99" s="15">
        <f t="shared" si="78"/>
        <v>27648.02</v>
      </c>
    </row>
    <row r="100" spans="2:29" ht="15">
      <c r="B100" s="8">
        <v>2961</v>
      </c>
      <c r="C100" s="8" t="s">
        <v>240</v>
      </c>
      <c r="D100" s="58">
        <f>+PRESUPACUM!D100</f>
        <v>0</v>
      </c>
      <c r="E100" s="58">
        <f>+PRESUPACUM!E100</f>
        <v>3682.8</v>
      </c>
      <c r="F100" s="18">
        <v>0</v>
      </c>
      <c r="G100" s="59">
        <f t="shared" si="67"/>
        <v>0</v>
      </c>
      <c r="H100" s="18">
        <v>0</v>
      </c>
      <c r="I100" s="15">
        <f t="shared" si="68"/>
        <v>0</v>
      </c>
      <c r="J100" s="18">
        <v>0</v>
      </c>
      <c r="K100" s="15">
        <f t="shared" si="69"/>
        <v>0</v>
      </c>
      <c r="L100" s="18">
        <v>0</v>
      </c>
      <c r="M100" s="15">
        <f t="shared" si="70"/>
        <v>0</v>
      </c>
      <c r="N100" s="18">
        <v>0</v>
      </c>
      <c r="O100" s="15">
        <f t="shared" si="71"/>
        <v>0</v>
      </c>
      <c r="P100" s="18">
        <v>0</v>
      </c>
      <c r="Q100" s="15">
        <f t="shared" si="72"/>
        <v>0</v>
      </c>
      <c r="R100" s="18">
        <v>0</v>
      </c>
      <c r="S100" s="15">
        <f t="shared" si="73"/>
        <v>0</v>
      </c>
      <c r="T100" s="18">
        <v>2003.8</v>
      </c>
      <c r="U100" s="15">
        <f t="shared" si="74"/>
        <v>2003.8</v>
      </c>
      <c r="V100" s="18">
        <v>0</v>
      </c>
      <c r="W100" s="15">
        <f t="shared" si="75"/>
        <v>2003.8</v>
      </c>
      <c r="X100" s="18">
        <v>0</v>
      </c>
      <c r="Y100" s="15">
        <f t="shared" si="76"/>
        <v>2003.8</v>
      </c>
      <c r="Z100" s="18">
        <v>0</v>
      </c>
      <c r="AA100" s="15">
        <f t="shared" si="77"/>
        <v>2003.8</v>
      </c>
      <c r="AB100" s="18">
        <v>1679</v>
      </c>
      <c r="AC100" s="15">
        <f t="shared" si="78"/>
        <v>3682.8</v>
      </c>
    </row>
    <row r="101" spans="2:29" ht="15">
      <c r="B101" s="8">
        <v>2991</v>
      </c>
      <c r="C101" s="8" t="s">
        <v>195</v>
      </c>
      <c r="D101" s="58">
        <f>+PRESUPACUM!D101</f>
        <v>0</v>
      </c>
      <c r="E101" s="58">
        <f>+PRESUPACUM!E101</f>
        <v>2842</v>
      </c>
      <c r="F101" s="18">
        <v>0</v>
      </c>
      <c r="G101" s="59">
        <f t="shared" si="67"/>
        <v>0</v>
      </c>
      <c r="H101" s="18">
        <v>0</v>
      </c>
      <c r="I101" s="15">
        <f t="shared" si="68"/>
        <v>0</v>
      </c>
      <c r="J101" s="18">
        <v>0</v>
      </c>
      <c r="K101" s="15">
        <f t="shared" si="69"/>
        <v>0</v>
      </c>
      <c r="L101" s="18">
        <v>0</v>
      </c>
      <c r="M101" s="15">
        <f t="shared" si="70"/>
        <v>0</v>
      </c>
      <c r="N101" s="18">
        <v>0</v>
      </c>
      <c r="O101" s="15">
        <f t="shared" si="71"/>
        <v>0</v>
      </c>
      <c r="P101" s="18">
        <v>0</v>
      </c>
      <c r="Q101" s="15">
        <f t="shared" si="72"/>
        <v>0</v>
      </c>
      <c r="R101" s="18">
        <v>0</v>
      </c>
      <c r="S101" s="15">
        <f t="shared" si="73"/>
        <v>0</v>
      </c>
      <c r="T101" s="18">
        <v>0</v>
      </c>
      <c r="U101" s="15">
        <f t="shared" si="74"/>
        <v>0</v>
      </c>
      <c r="V101" s="18">
        <v>2842</v>
      </c>
      <c r="W101" s="15">
        <f t="shared" si="75"/>
        <v>2842</v>
      </c>
      <c r="X101" s="18">
        <v>0</v>
      </c>
      <c r="Y101" s="15">
        <f t="shared" si="76"/>
        <v>2842</v>
      </c>
      <c r="Z101" s="18">
        <v>0</v>
      </c>
      <c r="AA101" s="15">
        <f t="shared" si="77"/>
        <v>2842</v>
      </c>
      <c r="AB101" s="18">
        <v>0</v>
      </c>
      <c r="AC101" s="15">
        <f t="shared" si="78"/>
        <v>2842</v>
      </c>
    </row>
    <row r="102" spans="4:29" ht="15">
      <c r="D102" s="58"/>
      <c r="E102" s="58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2:29" ht="16.5" thickBot="1">
      <c r="B103" s="75">
        <v>3000</v>
      </c>
      <c r="C103" s="124" t="s">
        <v>38</v>
      </c>
      <c r="D103" s="62">
        <f aca="true" t="shared" si="79" ref="D103:AC103">+D105+D114+D120+D131+D138+D147+D152+D160+D166</f>
        <v>32502606.260000005</v>
      </c>
      <c r="E103" s="62">
        <f t="shared" si="79"/>
        <v>36634342.78</v>
      </c>
      <c r="F103" s="62">
        <f t="shared" si="79"/>
        <v>1013490.49</v>
      </c>
      <c r="G103" s="62">
        <f t="shared" si="79"/>
        <v>1013490.49</v>
      </c>
      <c r="H103" s="62">
        <f>+H105+H114+H120+H131+H138+H147+H152+H160+H166</f>
        <v>1081980.31</v>
      </c>
      <c r="I103" s="62">
        <f t="shared" si="79"/>
        <v>2095470.8000000003</v>
      </c>
      <c r="J103" s="62">
        <f>+J105+J114+J120+J131+J138+J147+J152+J160+J166</f>
        <v>1094268.21</v>
      </c>
      <c r="K103" s="62">
        <f t="shared" si="79"/>
        <v>3189739.01</v>
      </c>
      <c r="L103" s="62">
        <f t="shared" si="79"/>
        <v>1628537.1300000004</v>
      </c>
      <c r="M103" s="62">
        <f t="shared" si="79"/>
        <v>4818276.14</v>
      </c>
      <c r="N103" s="62">
        <f>+N105+N114+N120+N131+N138+N147+N152+N160+N166</f>
        <v>2138343.49</v>
      </c>
      <c r="O103" s="62">
        <f t="shared" si="79"/>
        <v>6956619.63</v>
      </c>
      <c r="P103" s="62">
        <f>+P105+P114+P120+P131+P138+P147+P152+P160+P166</f>
        <v>2469079.54</v>
      </c>
      <c r="Q103" s="62">
        <f t="shared" si="79"/>
        <v>9425699.170000002</v>
      </c>
      <c r="R103" s="62">
        <f>+R105+R114+R120+R131+R138+R147+R152+R160+R166</f>
        <v>3249166.93</v>
      </c>
      <c r="S103" s="62">
        <f t="shared" si="79"/>
        <v>12674866.099999998</v>
      </c>
      <c r="T103" s="62">
        <f t="shared" si="79"/>
        <v>3326967.29</v>
      </c>
      <c r="U103" s="62">
        <f t="shared" si="79"/>
        <v>16001833.389999999</v>
      </c>
      <c r="V103" s="62">
        <f>+V105+V114+V120+V131+V138+V147+V152+V160+V166</f>
        <v>4018201.0600000005</v>
      </c>
      <c r="W103" s="62">
        <f t="shared" si="79"/>
        <v>20020034.450000003</v>
      </c>
      <c r="X103" s="62">
        <f>+X105+X114+X120+X131+X138+X147+X152+X160+X166</f>
        <v>4392364.140000001</v>
      </c>
      <c r="Y103" s="62">
        <f t="shared" si="79"/>
        <v>24412398.59</v>
      </c>
      <c r="Z103" s="62">
        <f t="shared" si="79"/>
        <v>4424267.39</v>
      </c>
      <c r="AA103" s="62">
        <f t="shared" si="79"/>
        <v>28836665.98</v>
      </c>
      <c r="AB103" s="62">
        <f>+AB105+AB114+AB120+AB131+AB138+AB147+AB152+AB160+AB166</f>
        <v>7797676.820000001</v>
      </c>
      <c r="AC103" s="62">
        <f t="shared" si="79"/>
        <v>36634342.8</v>
      </c>
    </row>
    <row r="104" spans="2:29" ht="16.5" thickTop="1">
      <c r="B104" s="63"/>
      <c r="C104" s="79"/>
      <c r="D104" s="95"/>
      <c r="E104" s="9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2:29" ht="15.75">
      <c r="B105" s="80">
        <v>3100</v>
      </c>
      <c r="C105" s="67" t="s">
        <v>46</v>
      </c>
      <c r="D105" s="70">
        <f>SUM(D106:D112)</f>
        <v>3034740</v>
      </c>
      <c r="E105" s="70">
        <f>SUM(E106:E112)</f>
        <v>1843454.7899999998</v>
      </c>
      <c r="F105" s="70">
        <f aca="true" t="shared" si="80" ref="F105:AC105">SUM(F106:F112)</f>
        <v>164162.28</v>
      </c>
      <c r="G105" s="70">
        <f t="shared" si="80"/>
        <v>164162.28</v>
      </c>
      <c r="H105" s="70">
        <f>SUM(H106:H112)</f>
        <v>133466.22999999998</v>
      </c>
      <c r="I105" s="70">
        <f t="shared" si="80"/>
        <v>297628.51</v>
      </c>
      <c r="J105" s="70">
        <f>SUM(J106:J112)</f>
        <v>119194.18000000001</v>
      </c>
      <c r="K105" s="70">
        <f t="shared" si="80"/>
        <v>416822.69000000006</v>
      </c>
      <c r="L105" s="70">
        <f t="shared" si="80"/>
        <v>127456.88</v>
      </c>
      <c r="M105" s="70">
        <f t="shared" si="80"/>
        <v>544279.5700000001</v>
      </c>
      <c r="N105" s="70">
        <f>SUM(N106:N112)</f>
        <v>164365.48</v>
      </c>
      <c r="O105" s="70">
        <f t="shared" si="80"/>
        <v>708645.0499999999</v>
      </c>
      <c r="P105" s="70">
        <f>SUM(P106:P112)</f>
        <v>135687.73</v>
      </c>
      <c r="Q105" s="70">
        <f t="shared" si="80"/>
        <v>844332.78</v>
      </c>
      <c r="R105" s="70">
        <f>SUM(R106:R112)</f>
        <v>163157.08</v>
      </c>
      <c r="S105" s="70">
        <f t="shared" si="80"/>
        <v>1007489.8600000001</v>
      </c>
      <c r="T105" s="70">
        <f t="shared" si="80"/>
        <v>136105.65000000002</v>
      </c>
      <c r="U105" s="70">
        <f t="shared" si="80"/>
        <v>1143595.51</v>
      </c>
      <c r="V105" s="70">
        <f>SUM(V106:V112)</f>
        <v>178460.18000000002</v>
      </c>
      <c r="W105" s="70">
        <f t="shared" si="80"/>
        <v>1322055.69</v>
      </c>
      <c r="X105" s="70">
        <f>SUM(X106:X112)</f>
        <v>158752.81</v>
      </c>
      <c r="Y105" s="70">
        <f t="shared" si="80"/>
        <v>1480808.4999999998</v>
      </c>
      <c r="Z105" s="70">
        <f t="shared" si="80"/>
        <v>179810.11</v>
      </c>
      <c r="AA105" s="70">
        <f t="shared" si="80"/>
        <v>1660618.61</v>
      </c>
      <c r="AB105" s="70">
        <f>SUM(AB106:AB112)</f>
        <v>182836.18</v>
      </c>
      <c r="AC105" s="70">
        <f t="shared" si="80"/>
        <v>1843454.7899999998</v>
      </c>
    </row>
    <row r="106" spans="2:29" ht="15">
      <c r="B106" s="81">
        <v>3112</v>
      </c>
      <c r="C106" s="26" t="s">
        <v>124</v>
      </c>
      <c r="D106" s="93">
        <f>+PRESUPACUM!D106</f>
        <v>1700000</v>
      </c>
      <c r="E106" s="93">
        <f>+PRESUPACUM!E106</f>
        <v>1017739.3400000001</v>
      </c>
      <c r="F106" s="17">
        <v>108333.33</v>
      </c>
      <c r="G106" s="59">
        <f aca="true" t="shared" si="81" ref="G106:G111">+F106</f>
        <v>108333.33</v>
      </c>
      <c r="H106" s="17">
        <v>53801</v>
      </c>
      <c r="I106" s="15">
        <f aca="true" t="shared" si="82" ref="I106:I111">+G106+H106</f>
        <v>162134.33000000002</v>
      </c>
      <c r="J106" s="17">
        <v>65111</v>
      </c>
      <c r="K106" s="15">
        <f aca="true" t="shared" si="83" ref="K106:K111">+I106+J106</f>
        <v>227245.33000000002</v>
      </c>
      <c r="L106" s="17">
        <v>73611</v>
      </c>
      <c r="M106" s="15">
        <f aca="true" t="shared" si="84" ref="M106:M111">+K106+L106</f>
        <v>300856.33</v>
      </c>
      <c r="N106" s="17">
        <v>81485.01</v>
      </c>
      <c r="O106" s="15">
        <f aca="true" t="shared" si="85" ref="O106:O111">+M106+N106</f>
        <v>382341.34</v>
      </c>
      <c r="P106" s="17">
        <v>81835</v>
      </c>
      <c r="Q106" s="15">
        <f aca="true" t="shared" si="86" ref="Q106:Q111">+O106+P106</f>
        <v>464176.34</v>
      </c>
      <c r="R106" s="17">
        <v>82550</v>
      </c>
      <c r="S106" s="15">
        <f aca="true" t="shared" si="87" ref="S106:S111">+Q106+R106</f>
        <v>546726.3400000001</v>
      </c>
      <c r="T106" s="17">
        <v>82124</v>
      </c>
      <c r="U106" s="15">
        <f aca="true" t="shared" si="88" ref="U106:U111">+S106+T106</f>
        <v>628850.3400000001</v>
      </c>
      <c r="V106" s="17">
        <v>93517.99</v>
      </c>
      <c r="W106" s="15">
        <f aca="true" t="shared" si="89" ref="W106:W111">+U106+V106</f>
        <v>722368.3300000001</v>
      </c>
      <c r="X106" s="17">
        <v>103284</v>
      </c>
      <c r="Y106" s="15">
        <f aca="true" t="shared" si="90" ref="Y106:Y111">+W106+X106</f>
        <v>825652.3300000001</v>
      </c>
      <c r="Z106" s="17">
        <v>100708</v>
      </c>
      <c r="AA106" s="15">
        <f aca="true" t="shared" si="91" ref="AA106:AA111">+Y106+Z106</f>
        <v>926360.3300000001</v>
      </c>
      <c r="AB106" s="17">
        <v>91379.01</v>
      </c>
      <c r="AC106" s="15">
        <f aca="true" t="shared" si="92" ref="AC106:AC111">+AA106+AB106</f>
        <v>1017739.3400000001</v>
      </c>
    </row>
    <row r="107" spans="2:29" ht="15">
      <c r="B107" s="81">
        <v>3131</v>
      </c>
      <c r="C107" s="26" t="s">
        <v>125</v>
      </c>
      <c r="D107" s="93">
        <f>+PRESUPACUM!D107</f>
        <v>495000</v>
      </c>
      <c r="E107" s="93">
        <f>+PRESUPACUM!E107</f>
        <v>171601.99</v>
      </c>
      <c r="F107" s="17">
        <v>0</v>
      </c>
      <c r="G107" s="59">
        <f t="shared" si="81"/>
        <v>0</v>
      </c>
      <c r="H107" s="17">
        <v>25520</v>
      </c>
      <c r="I107" s="15">
        <f t="shared" si="82"/>
        <v>25520</v>
      </c>
      <c r="J107" s="17">
        <v>0</v>
      </c>
      <c r="K107" s="15">
        <f t="shared" si="83"/>
        <v>25520</v>
      </c>
      <c r="L107" s="17">
        <v>0</v>
      </c>
      <c r="M107" s="15">
        <f t="shared" si="84"/>
        <v>25520</v>
      </c>
      <c r="N107" s="17">
        <v>28819</v>
      </c>
      <c r="O107" s="15">
        <f t="shared" si="85"/>
        <v>54339</v>
      </c>
      <c r="P107" s="17">
        <v>0</v>
      </c>
      <c r="Q107" s="15">
        <f t="shared" si="86"/>
        <v>54339</v>
      </c>
      <c r="R107" s="17">
        <v>26368.99</v>
      </c>
      <c r="S107" s="15">
        <f t="shared" si="87"/>
        <v>80707.99</v>
      </c>
      <c r="T107" s="17">
        <v>0</v>
      </c>
      <c r="U107" s="15">
        <f t="shared" si="88"/>
        <v>80707.99</v>
      </c>
      <c r="V107" s="17">
        <v>31417</v>
      </c>
      <c r="W107" s="15">
        <f t="shared" si="89"/>
        <v>112124.99</v>
      </c>
      <c r="X107" s="17">
        <v>0</v>
      </c>
      <c r="Y107" s="15">
        <f t="shared" si="90"/>
        <v>112124.99</v>
      </c>
      <c r="Z107" s="17">
        <v>24477</v>
      </c>
      <c r="AA107" s="15">
        <f t="shared" si="91"/>
        <v>136601.99</v>
      </c>
      <c r="AB107" s="17">
        <v>35000</v>
      </c>
      <c r="AC107" s="15">
        <f t="shared" si="92"/>
        <v>171601.99</v>
      </c>
    </row>
    <row r="108" spans="2:29" ht="15">
      <c r="B108" s="81">
        <v>3141</v>
      </c>
      <c r="C108" s="26" t="s">
        <v>123</v>
      </c>
      <c r="D108" s="94">
        <f>+PRESUPACUM!D108</f>
        <v>551200</v>
      </c>
      <c r="E108" s="94">
        <f>+PRESUPACUM!E108</f>
        <v>359591.9</v>
      </c>
      <c r="F108" s="72">
        <v>31999.99</v>
      </c>
      <c r="G108" s="59">
        <f t="shared" si="81"/>
        <v>31999.99</v>
      </c>
      <c r="H108" s="72">
        <v>30285.26</v>
      </c>
      <c r="I108" s="15">
        <f>+G108+H108</f>
        <v>62285.25</v>
      </c>
      <c r="J108" s="72">
        <v>30239.72</v>
      </c>
      <c r="K108" s="15">
        <f>+I108+J108</f>
        <v>92524.97</v>
      </c>
      <c r="L108" s="72">
        <v>29886.41</v>
      </c>
      <c r="M108" s="15">
        <f>+K108+L108</f>
        <v>122411.38</v>
      </c>
      <c r="N108" s="72">
        <v>30233.49</v>
      </c>
      <c r="O108" s="15">
        <f>+M108+N108</f>
        <v>152644.87</v>
      </c>
      <c r="P108" s="72">
        <v>29889.77</v>
      </c>
      <c r="Q108" s="15">
        <f>+O108+P108</f>
        <v>182534.63999999998</v>
      </c>
      <c r="R108" s="72">
        <v>29764.63</v>
      </c>
      <c r="S108" s="15">
        <f>+Q108+R108</f>
        <v>212299.27</v>
      </c>
      <c r="T108" s="72">
        <v>29582.69</v>
      </c>
      <c r="U108" s="15">
        <f>+S108+T108</f>
        <v>241881.96</v>
      </c>
      <c r="V108" s="72">
        <v>29562.72</v>
      </c>
      <c r="W108" s="15">
        <f>+U108+V108</f>
        <v>271444.68</v>
      </c>
      <c r="X108" s="72">
        <v>29570.69</v>
      </c>
      <c r="Y108" s="15">
        <f>+W108+X108</f>
        <v>301015.37</v>
      </c>
      <c r="Z108" s="72">
        <v>29272.99</v>
      </c>
      <c r="AA108" s="15">
        <f t="shared" si="91"/>
        <v>330288.36</v>
      </c>
      <c r="AB108" s="72">
        <v>29303.54</v>
      </c>
      <c r="AC108" s="15">
        <f t="shared" si="92"/>
        <v>359591.89999999997</v>
      </c>
    </row>
    <row r="109" spans="2:29" ht="15">
      <c r="B109" s="82">
        <v>3151</v>
      </c>
      <c r="C109" s="8" t="s">
        <v>5</v>
      </c>
      <c r="D109" s="93">
        <f>+PRESUPACUM!D109</f>
        <v>0</v>
      </c>
      <c r="E109" s="93">
        <f>+PRESUPACUM!E109</f>
        <v>0</v>
      </c>
      <c r="F109" s="17">
        <v>0</v>
      </c>
      <c r="G109" s="59">
        <f t="shared" si="81"/>
        <v>0</v>
      </c>
      <c r="H109" s="17">
        <v>0</v>
      </c>
      <c r="I109" s="15">
        <f t="shared" si="82"/>
        <v>0</v>
      </c>
      <c r="J109" s="17">
        <v>0</v>
      </c>
      <c r="K109" s="15">
        <f t="shared" si="83"/>
        <v>0</v>
      </c>
      <c r="L109" s="17">
        <v>0</v>
      </c>
      <c r="M109" s="15">
        <f t="shared" si="84"/>
        <v>0</v>
      </c>
      <c r="N109" s="17">
        <v>0</v>
      </c>
      <c r="O109" s="15">
        <f t="shared" si="85"/>
        <v>0</v>
      </c>
      <c r="P109" s="17">
        <v>0</v>
      </c>
      <c r="Q109" s="15">
        <f t="shared" si="86"/>
        <v>0</v>
      </c>
      <c r="R109" s="17">
        <v>0</v>
      </c>
      <c r="S109" s="15">
        <f t="shared" si="87"/>
        <v>0</v>
      </c>
      <c r="T109" s="17">
        <v>0</v>
      </c>
      <c r="U109" s="15">
        <f t="shared" si="88"/>
        <v>0</v>
      </c>
      <c r="V109" s="17">
        <v>0</v>
      </c>
      <c r="W109" s="15">
        <f t="shared" si="89"/>
        <v>0</v>
      </c>
      <c r="X109" s="17">
        <v>0</v>
      </c>
      <c r="Y109" s="15">
        <f t="shared" si="90"/>
        <v>0</v>
      </c>
      <c r="Z109" s="17">
        <v>0</v>
      </c>
      <c r="AA109" s="15">
        <f t="shared" si="91"/>
        <v>0</v>
      </c>
      <c r="AB109" s="17">
        <v>0</v>
      </c>
      <c r="AC109" s="15">
        <f t="shared" si="92"/>
        <v>0</v>
      </c>
    </row>
    <row r="110" spans="2:29" ht="15">
      <c r="B110" s="78">
        <v>3161</v>
      </c>
      <c r="C110" s="8" t="s">
        <v>126</v>
      </c>
      <c r="D110" s="93">
        <f>+PRESUPACUM!D110</f>
        <v>19860</v>
      </c>
      <c r="E110" s="93">
        <f>+PRESUPACUM!E110</f>
        <v>17466.97</v>
      </c>
      <c r="F110" s="17">
        <v>1438.99</v>
      </c>
      <c r="G110" s="59">
        <f t="shared" si="81"/>
        <v>1438.99</v>
      </c>
      <c r="H110" s="17">
        <v>1438</v>
      </c>
      <c r="I110" s="15">
        <f t="shared" si="82"/>
        <v>2876.99</v>
      </c>
      <c r="J110" s="17">
        <v>1438.99</v>
      </c>
      <c r="K110" s="15">
        <f t="shared" si="83"/>
        <v>4315.98</v>
      </c>
      <c r="L110" s="17">
        <v>1439</v>
      </c>
      <c r="M110" s="15">
        <f t="shared" si="84"/>
        <v>5754.98</v>
      </c>
      <c r="N110" s="17">
        <v>1438.01</v>
      </c>
      <c r="O110" s="15">
        <f t="shared" si="85"/>
        <v>7192.99</v>
      </c>
      <c r="P110" s="17">
        <v>1437.99</v>
      </c>
      <c r="Q110" s="15">
        <f t="shared" si="86"/>
        <v>8630.98</v>
      </c>
      <c r="R110" s="17">
        <v>1437.99</v>
      </c>
      <c r="S110" s="15">
        <f t="shared" si="87"/>
        <v>10068.97</v>
      </c>
      <c r="T110" s="17">
        <v>1438.99</v>
      </c>
      <c r="U110" s="15">
        <f t="shared" si="88"/>
        <v>11507.96</v>
      </c>
      <c r="V110" s="17">
        <v>1538</v>
      </c>
      <c r="W110" s="15">
        <f t="shared" si="89"/>
        <v>13045.96</v>
      </c>
      <c r="X110" s="17">
        <v>1465</v>
      </c>
      <c r="Y110" s="15">
        <f t="shared" si="90"/>
        <v>14510.96</v>
      </c>
      <c r="Z110" s="17">
        <v>1464</v>
      </c>
      <c r="AA110" s="15">
        <f t="shared" si="91"/>
        <v>15974.96</v>
      </c>
      <c r="AB110" s="17">
        <v>1492.01</v>
      </c>
      <c r="AC110" s="15">
        <f t="shared" si="92"/>
        <v>17466.969999999998</v>
      </c>
    </row>
    <row r="111" spans="2:29" ht="15">
      <c r="B111" s="82">
        <v>3171</v>
      </c>
      <c r="C111" s="8" t="s">
        <v>128</v>
      </c>
      <c r="D111" s="93">
        <f>+PRESUPACUM!D111</f>
        <v>268680</v>
      </c>
      <c r="E111" s="93">
        <f>+PRESUPACUM!E111</f>
        <v>268679.64</v>
      </c>
      <c r="F111" s="17">
        <v>22389.97</v>
      </c>
      <c r="G111" s="59">
        <f t="shared" si="81"/>
        <v>22389.97</v>
      </c>
      <c r="H111" s="17">
        <v>22389.97</v>
      </c>
      <c r="I111" s="15">
        <f t="shared" si="82"/>
        <v>44779.94</v>
      </c>
      <c r="J111" s="17">
        <v>22389.97</v>
      </c>
      <c r="K111" s="15">
        <f t="shared" si="83"/>
        <v>67169.91</v>
      </c>
      <c r="L111" s="17">
        <v>22389.97</v>
      </c>
      <c r="M111" s="15">
        <f t="shared" si="84"/>
        <v>89559.88</v>
      </c>
      <c r="N111" s="17">
        <v>22389.97</v>
      </c>
      <c r="O111" s="15">
        <f t="shared" si="85"/>
        <v>111949.85</v>
      </c>
      <c r="P111" s="17">
        <v>22389.97</v>
      </c>
      <c r="Q111" s="15">
        <f t="shared" si="86"/>
        <v>134339.82</v>
      </c>
      <c r="R111" s="17">
        <v>22389.97</v>
      </c>
      <c r="S111" s="15">
        <f t="shared" si="87"/>
        <v>156729.79</v>
      </c>
      <c r="T111" s="17">
        <v>22389.97</v>
      </c>
      <c r="U111" s="15">
        <f t="shared" si="88"/>
        <v>179119.76</v>
      </c>
      <c r="V111" s="17">
        <v>22389.97</v>
      </c>
      <c r="W111" s="15">
        <f t="shared" si="89"/>
        <v>201509.73</v>
      </c>
      <c r="X111" s="17">
        <v>22389.97</v>
      </c>
      <c r="Y111" s="15">
        <f t="shared" si="90"/>
        <v>223899.7</v>
      </c>
      <c r="Z111" s="17">
        <v>22389.97</v>
      </c>
      <c r="AA111" s="15">
        <f t="shared" si="91"/>
        <v>246289.67</v>
      </c>
      <c r="AB111" s="17">
        <v>22389.97</v>
      </c>
      <c r="AC111" s="15">
        <f t="shared" si="92"/>
        <v>268679.64</v>
      </c>
    </row>
    <row r="112" spans="2:29" ht="15">
      <c r="B112" s="81">
        <v>3181</v>
      </c>
      <c r="C112" s="26" t="s">
        <v>127</v>
      </c>
      <c r="D112" s="93">
        <f>+PRESUPACUM!D112</f>
        <v>0</v>
      </c>
      <c r="E112" s="93">
        <f>+PRESUPACUM!E112</f>
        <v>8374.95</v>
      </c>
      <c r="F112" s="17">
        <v>0</v>
      </c>
      <c r="G112" s="59">
        <f>+F112</f>
        <v>0</v>
      </c>
      <c r="H112" s="17">
        <v>32</v>
      </c>
      <c r="I112" s="15">
        <f>+G112+H112</f>
        <v>32</v>
      </c>
      <c r="J112" s="17">
        <v>14.5</v>
      </c>
      <c r="K112" s="15">
        <f>+I112+J112</f>
        <v>46.5</v>
      </c>
      <c r="L112" s="17">
        <v>130.5</v>
      </c>
      <c r="M112" s="15">
        <f>+K112+L112</f>
        <v>177</v>
      </c>
      <c r="N112" s="17">
        <v>0</v>
      </c>
      <c r="O112" s="15">
        <f>+M112+N112</f>
        <v>177</v>
      </c>
      <c r="P112" s="17">
        <v>135</v>
      </c>
      <c r="Q112" s="15">
        <f>+O112+P112</f>
        <v>312</v>
      </c>
      <c r="R112" s="17">
        <v>645.5</v>
      </c>
      <c r="S112" s="15">
        <f>+Q112+R112</f>
        <v>957.5</v>
      </c>
      <c r="T112" s="17">
        <v>570</v>
      </c>
      <c r="U112" s="15">
        <f>+S112+T112</f>
        <v>1527.5</v>
      </c>
      <c r="V112" s="17">
        <v>34.5</v>
      </c>
      <c r="W112" s="15">
        <f>+U112+V112</f>
        <v>1562</v>
      </c>
      <c r="X112" s="17">
        <v>2043.15</v>
      </c>
      <c r="Y112" s="15">
        <f>+W112+X112</f>
        <v>3605.15</v>
      </c>
      <c r="Z112" s="17">
        <v>1498.15</v>
      </c>
      <c r="AA112" s="15">
        <f>+Y112+Z112</f>
        <v>5103.3</v>
      </c>
      <c r="AB112" s="17">
        <v>3271.65</v>
      </c>
      <c r="AC112" s="15">
        <f>+AA112+AB112</f>
        <v>8374.95</v>
      </c>
    </row>
    <row r="113" spans="4:29" ht="15">
      <c r="D113" s="58"/>
      <c r="E113" s="5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2:29" ht="15.75">
      <c r="B114" s="80">
        <v>3200</v>
      </c>
      <c r="C114" s="67" t="s">
        <v>138</v>
      </c>
      <c r="D114" s="70">
        <f>SUM(D115:D118)</f>
        <v>1192096.1700000002</v>
      </c>
      <c r="E114" s="70">
        <f>SUM(E115:E118)</f>
        <v>1049076.27</v>
      </c>
      <c r="F114" s="70">
        <f aca="true" t="shared" si="93" ref="F114:AC114">SUM(F115:F118)</f>
        <v>48333.34</v>
      </c>
      <c r="G114" s="70">
        <f t="shared" si="93"/>
        <v>48333.34</v>
      </c>
      <c r="H114" s="70">
        <f>SUM(H115:H118)</f>
        <v>73555.02</v>
      </c>
      <c r="I114" s="70">
        <f t="shared" si="93"/>
        <v>121888.36</v>
      </c>
      <c r="J114" s="70">
        <f>SUM(J115:J118)</f>
        <v>0</v>
      </c>
      <c r="K114" s="70">
        <f t="shared" si="93"/>
        <v>121888.36</v>
      </c>
      <c r="L114" s="70">
        <f t="shared" si="93"/>
        <v>123312.84</v>
      </c>
      <c r="M114" s="70">
        <f t="shared" si="93"/>
        <v>245201.19999999998</v>
      </c>
      <c r="N114" s="70">
        <f>SUM(N115:N118)</f>
        <v>45376.88</v>
      </c>
      <c r="O114" s="70">
        <f t="shared" si="93"/>
        <v>290578.07999999996</v>
      </c>
      <c r="P114" s="70">
        <f>SUM(P115:P118)</f>
        <v>113230.8</v>
      </c>
      <c r="Q114" s="70">
        <f t="shared" si="93"/>
        <v>403808.88</v>
      </c>
      <c r="R114" s="70">
        <f>SUM(R115:R118)</f>
        <v>51456.9</v>
      </c>
      <c r="S114" s="70">
        <f t="shared" si="93"/>
        <v>455265.77999999997</v>
      </c>
      <c r="T114" s="70">
        <f t="shared" si="93"/>
        <v>153776.79</v>
      </c>
      <c r="U114" s="70">
        <f t="shared" si="93"/>
        <v>609042.57</v>
      </c>
      <c r="V114" s="70">
        <f>SUM(V115:V118)</f>
        <v>53824</v>
      </c>
      <c r="W114" s="70">
        <f t="shared" si="93"/>
        <v>662866.57</v>
      </c>
      <c r="X114" s="70">
        <f>SUM(X115:X118)</f>
        <v>248778.93</v>
      </c>
      <c r="Y114" s="70">
        <f t="shared" si="93"/>
        <v>911645.5</v>
      </c>
      <c r="Z114" s="70">
        <f t="shared" si="93"/>
        <v>35612</v>
      </c>
      <c r="AA114" s="70">
        <f t="shared" si="93"/>
        <v>947257.5</v>
      </c>
      <c r="AB114" s="70">
        <f>SUM(AB115:AB118)</f>
        <v>101818.77</v>
      </c>
      <c r="AC114" s="70">
        <f t="shared" si="93"/>
        <v>1049076.27</v>
      </c>
    </row>
    <row r="115" spans="2:29" ht="15">
      <c r="B115" s="81">
        <v>3231</v>
      </c>
      <c r="C115" s="26" t="s">
        <v>179</v>
      </c>
      <c r="D115" s="58">
        <f>+PRESUPACUM!D115</f>
        <v>580000.0000000001</v>
      </c>
      <c r="E115" s="58">
        <f>+PRESUPACUM!E115</f>
        <v>450203.97000000003</v>
      </c>
      <c r="F115" s="18">
        <v>48333.34</v>
      </c>
      <c r="G115" s="59">
        <f>+F115</f>
        <v>48333.34</v>
      </c>
      <c r="H115" s="18">
        <v>0</v>
      </c>
      <c r="I115" s="15">
        <f>+G115+H115</f>
        <v>48333.34</v>
      </c>
      <c r="J115" s="18">
        <v>0</v>
      </c>
      <c r="K115" s="15">
        <f>+I115+J115</f>
        <v>48333.34</v>
      </c>
      <c r="L115" s="18">
        <v>48408.43</v>
      </c>
      <c r="M115" s="15">
        <f>+K115+L115</f>
        <v>96741.76999999999</v>
      </c>
      <c r="N115" s="18">
        <v>45376.88</v>
      </c>
      <c r="O115" s="15">
        <f>+M115+N115</f>
        <v>142118.65</v>
      </c>
      <c r="P115" s="18">
        <v>0</v>
      </c>
      <c r="Q115" s="15">
        <f>+O115+P115</f>
        <v>142118.65</v>
      </c>
      <c r="R115" s="18">
        <v>47396.9</v>
      </c>
      <c r="S115" s="15">
        <f>+Q115+R115</f>
        <v>189515.55</v>
      </c>
      <c r="T115" s="18">
        <v>89043.92</v>
      </c>
      <c r="U115" s="15">
        <f>+S115+T115</f>
        <v>278559.47</v>
      </c>
      <c r="V115" s="18">
        <v>0</v>
      </c>
      <c r="W115" s="15">
        <f>+U115+V115</f>
        <v>278559.47</v>
      </c>
      <c r="X115" s="18">
        <v>75312.53</v>
      </c>
      <c r="Y115" s="15">
        <f>+W115+X115</f>
        <v>353872</v>
      </c>
      <c r="Z115" s="18">
        <v>0</v>
      </c>
      <c r="AA115" s="15">
        <f>+Y115+Z115</f>
        <v>353872</v>
      </c>
      <c r="AB115" s="18">
        <v>96331.97</v>
      </c>
      <c r="AC115" s="15">
        <f>+AA115+AB115</f>
        <v>450203.97</v>
      </c>
    </row>
    <row r="116" spans="2:29" ht="15">
      <c r="B116" s="81">
        <v>3253</v>
      </c>
      <c r="C116" s="26" t="s">
        <v>241</v>
      </c>
      <c r="D116" s="93">
        <f>+PRESUPACUM!D116</f>
        <v>0</v>
      </c>
      <c r="E116" s="93">
        <f>+PRESUPACUM!E116</f>
        <v>49764</v>
      </c>
      <c r="F116" s="17">
        <v>0</v>
      </c>
      <c r="G116" s="59">
        <f>+F116</f>
        <v>0</v>
      </c>
      <c r="H116" s="17">
        <v>0</v>
      </c>
      <c r="I116" s="15">
        <f>+G116+H116</f>
        <v>0</v>
      </c>
      <c r="J116" s="17">
        <v>0</v>
      </c>
      <c r="K116" s="15">
        <f>+I116+J116</f>
        <v>0</v>
      </c>
      <c r="L116" s="17">
        <v>0</v>
      </c>
      <c r="M116" s="15">
        <f>+K116+L116</f>
        <v>0</v>
      </c>
      <c r="N116" s="17">
        <v>0</v>
      </c>
      <c r="O116" s="15">
        <f>+M116+N116</f>
        <v>0</v>
      </c>
      <c r="P116" s="17">
        <v>0</v>
      </c>
      <c r="Q116" s="15">
        <f>+O116+P116</f>
        <v>0</v>
      </c>
      <c r="R116" s="17">
        <v>0</v>
      </c>
      <c r="S116" s="15">
        <f>+Q116+R116</f>
        <v>0</v>
      </c>
      <c r="T116" s="17">
        <v>0</v>
      </c>
      <c r="U116" s="15">
        <f>+S116+T116</f>
        <v>0</v>
      </c>
      <c r="V116" s="17">
        <v>49764</v>
      </c>
      <c r="W116" s="15">
        <f>+U116+V116</f>
        <v>49764</v>
      </c>
      <c r="X116" s="17">
        <v>0</v>
      </c>
      <c r="Y116" s="15">
        <f>+W116+X116</f>
        <v>49764</v>
      </c>
      <c r="Z116" s="17">
        <v>0</v>
      </c>
      <c r="AA116" s="15">
        <f>+Y116+Z116</f>
        <v>49764</v>
      </c>
      <c r="AB116" s="17">
        <v>0</v>
      </c>
      <c r="AC116" s="15">
        <f>+AA116+AB116</f>
        <v>49764</v>
      </c>
    </row>
    <row r="117" spans="2:29" ht="15">
      <c r="B117" s="81">
        <v>3271</v>
      </c>
      <c r="C117" s="26" t="s">
        <v>228</v>
      </c>
      <c r="D117" s="58">
        <f>+PRESUPACUM!D117</f>
        <v>612096.17</v>
      </c>
      <c r="E117" s="58">
        <f>+PRESUPACUM!E117</f>
        <v>491769.50000000006</v>
      </c>
      <c r="F117" s="18">
        <v>0</v>
      </c>
      <c r="G117" s="59">
        <f>+F117</f>
        <v>0</v>
      </c>
      <c r="H117" s="18">
        <v>73555.02</v>
      </c>
      <c r="I117" s="15">
        <f>+G117+H117</f>
        <v>73555.02</v>
      </c>
      <c r="J117" s="18">
        <v>0</v>
      </c>
      <c r="K117" s="15">
        <f>+I117+J117</f>
        <v>73555.02</v>
      </c>
      <c r="L117" s="18">
        <v>74904.41</v>
      </c>
      <c r="M117" s="15">
        <f>+K117+L117</f>
        <v>148459.43</v>
      </c>
      <c r="N117" s="18">
        <v>0</v>
      </c>
      <c r="O117" s="15">
        <f>+M117+N117</f>
        <v>148459.43</v>
      </c>
      <c r="P117" s="18">
        <v>109170.8</v>
      </c>
      <c r="Q117" s="15">
        <f>+O117+P117</f>
        <v>257630.22999999998</v>
      </c>
      <c r="R117" s="18">
        <v>0</v>
      </c>
      <c r="S117" s="15">
        <f>+Q117+R117</f>
        <v>257630.22999999998</v>
      </c>
      <c r="T117" s="18">
        <v>64732.87</v>
      </c>
      <c r="U117" s="15">
        <f>+S117+T117</f>
        <v>322363.1</v>
      </c>
      <c r="V117" s="18">
        <v>0</v>
      </c>
      <c r="W117" s="15">
        <f>+U117+V117</f>
        <v>322363.1</v>
      </c>
      <c r="X117" s="18">
        <v>169406.4</v>
      </c>
      <c r="Y117" s="15">
        <f>+W117+X117</f>
        <v>491769.5</v>
      </c>
      <c r="Z117" s="18">
        <v>0</v>
      </c>
      <c r="AA117" s="15">
        <f>+Y117+Z117</f>
        <v>491769.5</v>
      </c>
      <c r="AB117" s="18">
        <v>0</v>
      </c>
      <c r="AC117" s="15">
        <f>+AA117+AB117</f>
        <v>491769.5</v>
      </c>
    </row>
    <row r="118" spans="2:29" ht="15">
      <c r="B118" s="82">
        <v>3291</v>
      </c>
      <c r="C118" s="8" t="s">
        <v>23</v>
      </c>
      <c r="D118" s="58">
        <f>+PRESUPACUM!D118</f>
        <v>0</v>
      </c>
      <c r="E118" s="58">
        <f>+PRESUPACUM!E118</f>
        <v>57338.79999999999</v>
      </c>
      <c r="F118" s="18">
        <v>0</v>
      </c>
      <c r="G118" s="59">
        <f>+F118</f>
        <v>0</v>
      </c>
      <c r="H118" s="18">
        <v>0</v>
      </c>
      <c r="I118" s="15">
        <f>+G118+H118</f>
        <v>0</v>
      </c>
      <c r="J118" s="18">
        <v>0</v>
      </c>
      <c r="K118" s="15">
        <f>+I118+J118</f>
        <v>0</v>
      </c>
      <c r="L118" s="18">
        <v>0</v>
      </c>
      <c r="M118" s="15">
        <f>+K118+L118</f>
        <v>0</v>
      </c>
      <c r="N118" s="18">
        <v>0</v>
      </c>
      <c r="O118" s="15">
        <f>+M118+N118</f>
        <v>0</v>
      </c>
      <c r="P118" s="18">
        <v>4060</v>
      </c>
      <c r="Q118" s="15">
        <f>+O118+P118</f>
        <v>4060</v>
      </c>
      <c r="R118" s="18">
        <v>4060</v>
      </c>
      <c r="S118" s="15">
        <f>+Q118+R118</f>
        <v>8120</v>
      </c>
      <c r="T118" s="18">
        <v>0</v>
      </c>
      <c r="U118" s="15">
        <f>+S118+T118</f>
        <v>8120</v>
      </c>
      <c r="V118" s="18">
        <v>4060</v>
      </c>
      <c r="W118" s="15">
        <f>+U118+V118</f>
        <v>12180</v>
      </c>
      <c r="X118" s="18">
        <v>4060</v>
      </c>
      <c r="Y118" s="15">
        <f>+W118+X118</f>
        <v>16240</v>
      </c>
      <c r="Z118" s="18">
        <v>35612</v>
      </c>
      <c r="AA118" s="15">
        <f>+Y118+Z118</f>
        <v>51852</v>
      </c>
      <c r="AB118" s="18">
        <v>5486.8</v>
      </c>
      <c r="AC118" s="15">
        <f>+AA118+AB118</f>
        <v>57338.8</v>
      </c>
    </row>
    <row r="119" spans="4:29" ht="15">
      <c r="D119" s="58"/>
      <c r="E119" s="58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2:29" ht="15.75">
      <c r="B120" s="16">
        <v>3300</v>
      </c>
      <c r="C120" s="77" t="s">
        <v>177</v>
      </c>
      <c r="D120" s="92">
        <f>SUM(D121:D129)</f>
        <v>9770466.23</v>
      </c>
      <c r="E120" s="92">
        <f>SUM(E121:E129)</f>
        <v>19099067.790000007</v>
      </c>
      <c r="F120" s="92">
        <f aca="true" t="shared" si="94" ref="F120:AC120">SUM(F121:F129)</f>
        <v>113165.98999999999</v>
      </c>
      <c r="G120" s="92">
        <f t="shared" si="94"/>
        <v>113165.98999999999</v>
      </c>
      <c r="H120" s="92">
        <f>SUM(H121:H129)</f>
        <v>110354.08</v>
      </c>
      <c r="I120" s="92">
        <f t="shared" si="94"/>
        <v>223520.07</v>
      </c>
      <c r="J120" s="92">
        <f>SUM(J121:J129)</f>
        <v>123786.2</v>
      </c>
      <c r="K120" s="92">
        <f t="shared" si="94"/>
        <v>347306.27</v>
      </c>
      <c r="L120" s="92">
        <f t="shared" si="94"/>
        <v>421016.45</v>
      </c>
      <c r="M120" s="92">
        <f t="shared" si="94"/>
        <v>768322.72</v>
      </c>
      <c r="N120" s="92">
        <f>SUM(N121:N129)</f>
        <v>299120.56</v>
      </c>
      <c r="O120" s="92">
        <f t="shared" si="94"/>
        <v>1067443.28</v>
      </c>
      <c r="P120" s="92">
        <f>SUM(P121:P129)</f>
        <v>1059120.46</v>
      </c>
      <c r="Q120" s="92">
        <f t="shared" si="94"/>
        <v>2126563.74</v>
      </c>
      <c r="R120" s="92">
        <f>SUM(R121:R129)</f>
        <v>2089350.3900000001</v>
      </c>
      <c r="S120" s="92">
        <f t="shared" si="94"/>
        <v>4215914.13</v>
      </c>
      <c r="T120" s="92">
        <f t="shared" si="94"/>
        <v>2105073.54</v>
      </c>
      <c r="U120" s="92">
        <f t="shared" si="94"/>
        <v>6320987.67</v>
      </c>
      <c r="V120" s="92">
        <f>SUM(V121:V129)</f>
        <v>2384492.45</v>
      </c>
      <c r="W120" s="92">
        <f t="shared" si="94"/>
        <v>8705480.120000001</v>
      </c>
      <c r="X120" s="92">
        <f>SUM(X121:X129)</f>
        <v>2779011.1600000006</v>
      </c>
      <c r="Y120" s="92">
        <f t="shared" si="94"/>
        <v>11484491.280000001</v>
      </c>
      <c r="Z120" s="92">
        <f t="shared" si="94"/>
        <v>2986896.5100000002</v>
      </c>
      <c r="AA120" s="92">
        <f t="shared" si="94"/>
        <v>14471387.790000003</v>
      </c>
      <c r="AB120" s="92">
        <f>SUM(AB121:AB129)</f>
        <v>4627680.0200000005</v>
      </c>
      <c r="AC120" s="92">
        <f t="shared" si="94"/>
        <v>19099067.81</v>
      </c>
    </row>
    <row r="121" spans="2:29" ht="15">
      <c r="B121" s="8">
        <v>3311</v>
      </c>
      <c r="C121" s="8" t="s">
        <v>129</v>
      </c>
      <c r="D121" s="58">
        <f>+PRESUPACUM!D121</f>
        <v>236813.5</v>
      </c>
      <c r="E121" s="58">
        <f>+PRESUPACUM!E121</f>
        <v>15216131.720000003</v>
      </c>
      <c r="F121" s="18">
        <v>0</v>
      </c>
      <c r="G121" s="59">
        <f aca="true" t="shared" si="95" ref="G121:G129">+F121</f>
        <v>0</v>
      </c>
      <c r="H121" s="18">
        <v>0</v>
      </c>
      <c r="I121" s="15">
        <f aca="true" t="shared" si="96" ref="I121:I129">+G121+H121</f>
        <v>0</v>
      </c>
      <c r="J121" s="18">
        <v>0</v>
      </c>
      <c r="K121" s="15">
        <f aca="true" t="shared" si="97" ref="K121:K129">+I121+J121</f>
        <v>0</v>
      </c>
      <c r="L121" s="18">
        <v>220400</v>
      </c>
      <c r="M121" s="15">
        <f aca="true" t="shared" si="98" ref="M121:M129">+K121+L121</f>
        <v>220400</v>
      </c>
      <c r="N121" s="18">
        <v>174225.42</v>
      </c>
      <c r="O121" s="15">
        <f aca="true" t="shared" si="99" ref="O121:O129">+M121+N121</f>
        <v>394625.42000000004</v>
      </c>
      <c r="P121" s="18">
        <v>802968.86</v>
      </c>
      <c r="Q121" s="15">
        <f aca="true" t="shared" si="100" ref="Q121:Q129">+O121+P121</f>
        <v>1197594.28</v>
      </c>
      <c r="R121" s="18">
        <v>1609332.56</v>
      </c>
      <c r="S121" s="15">
        <f aca="true" t="shared" si="101" ref="S121:S129">+Q121+R121</f>
        <v>2806926.84</v>
      </c>
      <c r="T121" s="18">
        <v>1838702.03</v>
      </c>
      <c r="U121" s="15">
        <f aca="true" t="shared" si="102" ref="U121:U129">+S121+T121</f>
        <v>4645628.87</v>
      </c>
      <c r="V121" s="18">
        <v>2171654.93</v>
      </c>
      <c r="W121" s="15">
        <f aca="true" t="shared" si="103" ref="W121:W129">+U121+V121</f>
        <v>6817283.800000001</v>
      </c>
      <c r="X121" s="18">
        <v>2511774.42</v>
      </c>
      <c r="Y121" s="15">
        <f aca="true" t="shared" si="104" ref="Y121:Y129">+W121+X121</f>
        <v>9329058.22</v>
      </c>
      <c r="Z121" s="18">
        <v>2809052</v>
      </c>
      <c r="AA121" s="15">
        <f aca="true" t="shared" si="105" ref="AA121:AA129">+Y121+Z121</f>
        <v>12138110.22</v>
      </c>
      <c r="AB121" s="18">
        <v>3078021.52</v>
      </c>
      <c r="AC121" s="15">
        <f aca="true" t="shared" si="106" ref="AC121:AC129">+AA121+AB121</f>
        <v>15216131.74</v>
      </c>
    </row>
    <row r="122" spans="2:29" ht="15">
      <c r="B122" s="8">
        <v>3321</v>
      </c>
      <c r="C122" s="8" t="s">
        <v>239</v>
      </c>
      <c r="D122" s="58">
        <f>+PRESUPACUM!D122</f>
        <v>0</v>
      </c>
      <c r="E122" s="58">
        <f>+PRESUPACUM!E122</f>
        <v>200100</v>
      </c>
      <c r="F122" s="18">
        <v>0</v>
      </c>
      <c r="G122" s="59">
        <f>+F122</f>
        <v>0</v>
      </c>
      <c r="H122" s="18">
        <v>0</v>
      </c>
      <c r="I122" s="15">
        <f>+G122+H122</f>
        <v>0</v>
      </c>
      <c r="J122" s="18">
        <v>0</v>
      </c>
      <c r="K122" s="15">
        <f>+I122+J122</f>
        <v>0</v>
      </c>
      <c r="L122" s="18">
        <v>0</v>
      </c>
      <c r="M122" s="15">
        <f>+K122+L122</f>
        <v>0</v>
      </c>
      <c r="N122" s="18">
        <v>0</v>
      </c>
      <c r="O122" s="15">
        <f>+M122+N122</f>
        <v>0</v>
      </c>
      <c r="P122" s="18">
        <v>0</v>
      </c>
      <c r="Q122" s="15">
        <f>+O122+P122</f>
        <v>0</v>
      </c>
      <c r="R122" s="18">
        <v>49880</v>
      </c>
      <c r="S122" s="15">
        <f>+Q122+R122</f>
        <v>49880</v>
      </c>
      <c r="T122" s="18">
        <v>0</v>
      </c>
      <c r="U122" s="15">
        <f>+S122+T122</f>
        <v>49880</v>
      </c>
      <c r="V122" s="18">
        <v>0</v>
      </c>
      <c r="W122" s="15">
        <f>+U122+V122</f>
        <v>49880</v>
      </c>
      <c r="X122" s="18">
        <v>0</v>
      </c>
      <c r="Y122" s="15">
        <f>+W122+X122</f>
        <v>49880</v>
      </c>
      <c r="Z122" s="18">
        <v>0</v>
      </c>
      <c r="AA122" s="15">
        <f>+Y122+Z122</f>
        <v>49880</v>
      </c>
      <c r="AB122" s="18">
        <v>150220</v>
      </c>
      <c r="AC122" s="15">
        <f>+AA122+AB122</f>
        <v>200100</v>
      </c>
    </row>
    <row r="123" spans="2:29" ht="15">
      <c r="B123" s="8">
        <v>3331</v>
      </c>
      <c r="C123" s="8" t="s">
        <v>130</v>
      </c>
      <c r="D123" s="58">
        <f>+PRESUPACUM!D123</f>
        <v>1504740.56</v>
      </c>
      <c r="E123" s="58">
        <f>+PRESUPACUM!E123</f>
        <v>177796.47999999998</v>
      </c>
      <c r="F123" s="18">
        <v>15209.72</v>
      </c>
      <c r="G123" s="59">
        <f t="shared" si="95"/>
        <v>15209.72</v>
      </c>
      <c r="H123" s="18">
        <v>15209.72</v>
      </c>
      <c r="I123" s="15">
        <f t="shared" si="96"/>
        <v>30419.44</v>
      </c>
      <c r="J123" s="18">
        <f>15209.72-4720.26</f>
        <v>10489.46</v>
      </c>
      <c r="K123" s="15">
        <f t="shared" si="97"/>
        <v>40908.899999999994</v>
      </c>
      <c r="L123" s="18">
        <v>15209.72</v>
      </c>
      <c r="M123" s="15">
        <f t="shared" si="98"/>
        <v>56118.619999999995</v>
      </c>
      <c r="N123" s="18">
        <v>15209.72</v>
      </c>
      <c r="O123" s="15">
        <f t="shared" si="99"/>
        <v>71328.34</v>
      </c>
      <c r="P123" s="18">
        <v>15209.72</v>
      </c>
      <c r="Q123" s="15">
        <f t="shared" si="100"/>
        <v>86538.06</v>
      </c>
      <c r="R123" s="18">
        <v>15209.72</v>
      </c>
      <c r="S123" s="15">
        <f t="shared" si="101"/>
        <v>101747.78</v>
      </c>
      <c r="T123" s="18">
        <v>15209.72</v>
      </c>
      <c r="U123" s="15">
        <f t="shared" si="102"/>
        <v>116957.5</v>
      </c>
      <c r="V123" s="18">
        <v>15209.72</v>
      </c>
      <c r="W123" s="15">
        <f t="shared" si="103"/>
        <v>132167.22</v>
      </c>
      <c r="X123" s="18">
        <v>15209.72</v>
      </c>
      <c r="Y123" s="15">
        <f t="shared" si="104"/>
        <v>147376.94</v>
      </c>
      <c r="Z123" s="18">
        <v>15209.72</v>
      </c>
      <c r="AA123" s="15">
        <f t="shared" si="105"/>
        <v>162586.66</v>
      </c>
      <c r="AB123" s="18">
        <v>15209.82</v>
      </c>
      <c r="AC123" s="15">
        <f t="shared" si="106"/>
        <v>177796.48</v>
      </c>
    </row>
    <row r="124" spans="2:29" ht="15">
      <c r="B124" s="8">
        <v>3341</v>
      </c>
      <c r="C124" s="8" t="s">
        <v>131</v>
      </c>
      <c r="D124" s="58">
        <f>+PRESUPACUM!D124</f>
        <v>5593484.09</v>
      </c>
      <c r="E124" s="58">
        <f>+PRESUPACUM!E124</f>
        <v>1202142.9799999995</v>
      </c>
      <c r="F124" s="18">
        <v>0</v>
      </c>
      <c r="G124" s="59">
        <f t="shared" si="95"/>
        <v>0</v>
      </c>
      <c r="H124" s="18">
        <v>0</v>
      </c>
      <c r="I124" s="15">
        <f t="shared" si="96"/>
        <v>0</v>
      </c>
      <c r="J124" s="18">
        <v>0</v>
      </c>
      <c r="K124" s="15">
        <f t="shared" si="97"/>
        <v>0</v>
      </c>
      <c r="L124" s="18">
        <v>10256.24</v>
      </c>
      <c r="M124" s="15">
        <f t="shared" si="98"/>
        <v>10256.24</v>
      </c>
      <c r="N124" s="18">
        <v>3283.04</v>
      </c>
      <c r="O124" s="15">
        <f t="shared" si="99"/>
        <v>13539.279999999999</v>
      </c>
      <c r="P124" s="18">
        <v>43515</v>
      </c>
      <c r="Q124" s="15">
        <f t="shared" si="100"/>
        <v>57054.28</v>
      </c>
      <c r="R124" s="18">
        <v>20566.8</v>
      </c>
      <c r="S124" s="15">
        <f t="shared" si="101"/>
        <v>77621.08</v>
      </c>
      <c r="T124" s="18">
        <v>107025</v>
      </c>
      <c r="U124" s="15">
        <f t="shared" si="102"/>
        <v>184646.08000000002</v>
      </c>
      <c r="V124" s="18">
        <v>13792.5</v>
      </c>
      <c r="W124" s="15">
        <f t="shared" si="103"/>
        <v>198438.58000000002</v>
      </c>
      <c r="X124" s="18">
        <v>58659.5</v>
      </c>
      <c r="Y124" s="15">
        <f t="shared" si="104"/>
        <v>257098.08000000002</v>
      </c>
      <c r="Z124" s="18">
        <v>22718</v>
      </c>
      <c r="AA124" s="15">
        <f t="shared" si="105"/>
        <v>279816.08</v>
      </c>
      <c r="AB124" s="18">
        <v>922326.9</v>
      </c>
      <c r="AC124" s="15">
        <f t="shared" si="106"/>
        <v>1202142.98</v>
      </c>
    </row>
    <row r="125" spans="2:29" ht="15">
      <c r="B125" s="8">
        <v>3351</v>
      </c>
      <c r="C125" s="8" t="s">
        <v>132</v>
      </c>
      <c r="D125" s="58">
        <f>+PRESUPACUM!D125</f>
        <v>0</v>
      </c>
      <c r="E125" s="58">
        <f>+PRESUPACUM!E125</f>
        <v>0</v>
      </c>
      <c r="F125" s="18">
        <v>0</v>
      </c>
      <c r="G125" s="59">
        <f t="shared" si="95"/>
        <v>0</v>
      </c>
      <c r="H125" s="18">
        <v>0</v>
      </c>
      <c r="I125" s="15">
        <f t="shared" si="96"/>
        <v>0</v>
      </c>
      <c r="J125" s="18">
        <v>0</v>
      </c>
      <c r="K125" s="15">
        <f t="shared" si="97"/>
        <v>0</v>
      </c>
      <c r="L125" s="18">
        <v>0</v>
      </c>
      <c r="M125" s="15">
        <f t="shared" si="98"/>
        <v>0</v>
      </c>
      <c r="N125" s="18">
        <v>0</v>
      </c>
      <c r="O125" s="15">
        <f t="shared" si="99"/>
        <v>0</v>
      </c>
      <c r="P125" s="18">
        <v>0</v>
      </c>
      <c r="Q125" s="15">
        <f t="shared" si="100"/>
        <v>0</v>
      </c>
      <c r="R125" s="18">
        <v>0</v>
      </c>
      <c r="S125" s="15">
        <f t="shared" si="101"/>
        <v>0</v>
      </c>
      <c r="T125" s="18">
        <v>0</v>
      </c>
      <c r="U125" s="15">
        <f t="shared" si="102"/>
        <v>0</v>
      </c>
      <c r="V125" s="18">
        <v>0</v>
      </c>
      <c r="W125" s="15">
        <f t="shared" si="103"/>
        <v>0</v>
      </c>
      <c r="X125" s="18">
        <v>0</v>
      </c>
      <c r="Y125" s="15">
        <f t="shared" si="104"/>
        <v>0</v>
      </c>
      <c r="Z125" s="18">
        <v>0</v>
      </c>
      <c r="AA125" s="15">
        <f t="shared" si="105"/>
        <v>0</v>
      </c>
      <c r="AB125" s="18">
        <v>0</v>
      </c>
      <c r="AC125" s="15">
        <f t="shared" si="106"/>
        <v>0</v>
      </c>
    </row>
    <row r="126" spans="2:29" ht="15">
      <c r="B126" s="8">
        <v>3361</v>
      </c>
      <c r="C126" s="8" t="s">
        <v>133</v>
      </c>
      <c r="D126" s="58">
        <f>+PRESUPACUM!D126</f>
        <v>150000</v>
      </c>
      <c r="E126" s="58">
        <f>+PRESUPACUM!E126</f>
        <v>83373.98</v>
      </c>
      <c r="F126" s="18">
        <v>3884.91</v>
      </c>
      <c r="G126" s="59">
        <f t="shared" si="95"/>
        <v>3884.91</v>
      </c>
      <c r="H126" s="18">
        <v>5471.72</v>
      </c>
      <c r="I126" s="15">
        <f t="shared" si="96"/>
        <v>9356.630000000001</v>
      </c>
      <c r="J126" s="18">
        <v>5073.38</v>
      </c>
      <c r="K126" s="15">
        <f t="shared" si="97"/>
        <v>14430.010000000002</v>
      </c>
      <c r="L126" s="18">
        <v>2188.69</v>
      </c>
      <c r="M126" s="15">
        <f t="shared" si="98"/>
        <v>16618.7</v>
      </c>
      <c r="N126" s="18">
        <v>3283.02</v>
      </c>
      <c r="O126" s="15">
        <f t="shared" si="99"/>
        <v>19901.72</v>
      </c>
      <c r="P126" s="18">
        <v>4377.36</v>
      </c>
      <c r="Q126" s="15">
        <f t="shared" si="100"/>
        <v>24279.08</v>
      </c>
      <c r="R126" s="18">
        <v>7004.31</v>
      </c>
      <c r="S126" s="15">
        <f t="shared" si="101"/>
        <v>31283.390000000003</v>
      </c>
      <c r="T126" s="18">
        <v>6073.59</v>
      </c>
      <c r="U126" s="15">
        <f t="shared" si="102"/>
        <v>37356.98</v>
      </c>
      <c r="V126" s="18">
        <v>12749.07</v>
      </c>
      <c r="W126" s="15">
        <f t="shared" si="103"/>
        <v>50106.05</v>
      </c>
      <c r="X126" s="18">
        <v>19698.12</v>
      </c>
      <c r="Y126" s="15">
        <f t="shared" si="104"/>
        <v>69804.17</v>
      </c>
      <c r="Z126" s="18">
        <v>10286.79</v>
      </c>
      <c r="AA126" s="15">
        <f t="shared" si="105"/>
        <v>80090.95999999999</v>
      </c>
      <c r="AB126" s="18">
        <v>3283.02</v>
      </c>
      <c r="AC126" s="15">
        <f t="shared" si="106"/>
        <v>83373.98</v>
      </c>
    </row>
    <row r="127" spans="2:29" ht="15">
      <c r="B127" s="8">
        <v>3362</v>
      </c>
      <c r="C127" s="8" t="s">
        <v>224</v>
      </c>
      <c r="D127" s="58">
        <f>+PRESUPACUM!D127</f>
        <v>1035948</v>
      </c>
      <c r="E127" s="58">
        <f>+PRESUPACUM!E127</f>
        <v>908520.55</v>
      </c>
      <c r="F127" s="18">
        <v>0</v>
      </c>
      <c r="G127" s="59">
        <f>+F127</f>
        <v>0</v>
      </c>
      <c r="H127" s="18">
        <v>1670.4</v>
      </c>
      <c r="I127" s="15">
        <f>+G127+H127</f>
        <v>1670.4</v>
      </c>
      <c r="J127" s="18">
        <v>14152</v>
      </c>
      <c r="K127" s="15">
        <f>+I127+J127</f>
        <v>15822.4</v>
      </c>
      <c r="L127" s="18">
        <v>81925</v>
      </c>
      <c r="M127" s="15">
        <f>+K127+L127</f>
        <v>97747.4</v>
      </c>
      <c r="N127" s="18">
        <v>9048</v>
      </c>
      <c r="O127" s="15">
        <f>+M127+N127</f>
        <v>106795.4</v>
      </c>
      <c r="P127" s="18">
        <v>79253.52</v>
      </c>
      <c r="Q127" s="15">
        <f>+O127+P127</f>
        <v>186048.91999999998</v>
      </c>
      <c r="R127" s="18">
        <v>251513.8</v>
      </c>
      <c r="S127" s="15">
        <f>+Q127+R127</f>
        <v>437562.72</v>
      </c>
      <c r="T127" s="18">
        <v>10672</v>
      </c>
      <c r="U127" s="15">
        <f>+S127+T127</f>
        <v>448234.72</v>
      </c>
      <c r="V127" s="18">
        <v>57290.23</v>
      </c>
      <c r="W127" s="15">
        <f>+U127+V127</f>
        <v>505524.94999999995</v>
      </c>
      <c r="X127" s="18">
        <v>46278.2</v>
      </c>
      <c r="Y127" s="15">
        <f>+W127+X127</f>
        <v>551803.1499999999</v>
      </c>
      <c r="Z127" s="18">
        <v>2784</v>
      </c>
      <c r="AA127" s="15">
        <f>+Y127+Z127</f>
        <v>554587.1499999999</v>
      </c>
      <c r="AB127" s="18">
        <v>353933.4</v>
      </c>
      <c r="AC127" s="15">
        <f>+AA127+AB127</f>
        <v>908520.5499999999</v>
      </c>
    </row>
    <row r="128" spans="2:29" ht="15">
      <c r="B128" s="8">
        <v>3381</v>
      </c>
      <c r="C128" s="8" t="s">
        <v>134</v>
      </c>
      <c r="D128" s="58">
        <f>+PRESUPACUM!D128</f>
        <v>1249480.0799999998</v>
      </c>
      <c r="E128" s="58">
        <f>+PRESUPACUM!E128</f>
        <v>1249480.08</v>
      </c>
      <c r="F128" s="18">
        <v>94071.36</v>
      </c>
      <c r="G128" s="59">
        <f t="shared" si="95"/>
        <v>94071.36</v>
      </c>
      <c r="H128" s="18">
        <v>88002.24</v>
      </c>
      <c r="I128" s="15">
        <f t="shared" si="96"/>
        <v>182073.6</v>
      </c>
      <c r="J128" s="18">
        <v>94071.36</v>
      </c>
      <c r="K128" s="15">
        <f t="shared" si="97"/>
        <v>276144.96</v>
      </c>
      <c r="L128" s="18">
        <v>91036.8</v>
      </c>
      <c r="M128" s="15">
        <f t="shared" si="98"/>
        <v>367181.76</v>
      </c>
      <c r="N128" s="18">
        <v>94071.36</v>
      </c>
      <c r="O128" s="15">
        <f t="shared" si="99"/>
        <v>461253.12</v>
      </c>
      <c r="P128" s="18">
        <v>113796</v>
      </c>
      <c r="Q128" s="15">
        <f t="shared" si="100"/>
        <v>575049.12</v>
      </c>
      <c r="R128" s="18">
        <v>117589.2</v>
      </c>
      <c r="S128" s="15">
        <f t="shared" si="101"/>
        <v>692638.32</v>
      </c>
      <c r="T128" s="18">
        <v>117589.2</v>
      </c>
      <c r="U128" s="15">
        <f t="shared" si="102"/>
        <v>810227.5199999999</v>
      </c>
      <c r="V128" s="18">
        <v>113796</v>
      </c>
      <c r="W128" s="15">
        <f t="shared" si="103"/>
        <v>924023.5199999999</v>
      </c>
      <c r="X128" s="18">
        <v>117589.2</v>
      </c>
      <c r="Y128" s="15">
        <f t="shared" si="104"/>
        <v>1041612.7199999999</v>
      </c>
      <c r="Z128" s="18">
        <v>113796</v>
      </c>
      <c r="AA128" s="15">
        <f t="shared" si="105"/>
        <v>1155408.7199999997</v>
      </c>
      <c r="AB128" s="18">
        <v>94071.36</v>
      </c>
      <c r="AC128" s="15">
        <f t="shared" si="106"/>
        <v>1249480.0799999998</v>
      </c>
    </row>
    <row r="129" spans="2:29" ht="15">
      <c r="B129" s="8">
        <v>3391</v>
      </c>
      <c r="C129" s="8" t="s">
        <v>135</v>
      </c>
      <c r="D129" s="58">
        <f>+PRESUPACUM!D129</f>
        <v>0</v>
      </c>
      <c r="E129" s="58">
        <f>+PRESUPACUM!E129</f>
        <v>61522</v>
      </c>
      <c r="F129" s="18">
        <v>0</v>
      </c>
      <c r="G129" s="59">
        <f t="shared" si="95"/>
        <v>0</v>
      </c>
      <c r="H129" s="18">
        <v>0</v>
      </c>
      <c r="I129" s="15">
        <f t="shared" si="96"/>
        <v>0</v>
      </c>
      <c r="J129" s="18">
        <v>0</v>
      </c>
      <c r="K129" s="15">
        <f t="shared" si="97"/>
        <v>0</v>
      </c>
      <c r="L129" s="18">
        <v>0</v>
      </c>
      <c r="M129" s="15">
        <f t="shared" si="98"/>
        <v>0</v>
      </c>
      <c r="N129" s="18">
        <v>0</v>
      </c>
      <c r="O129" s="15">
        <f t="shared" si="99"/>
        <v>0</v>
      </c>
      <c r="P129" s="18">
        <v>0</v>
      </c>
      <c r="Q129" s="15">
        <f t="shared" si="100"/>
        <v>0</v>
      </c>
      <c r="R129" s="18">
        <v>18254</v>
      </c>
      <c r="S129" s="15">
        <f t="shared" si="101"/>
        <v>18254</v>
      </c>
      <c r="T129" s="18">
        <v>9802</v>
      </c>
      <c r="U129" s="15">
        <f t="shared" si="102"/>
        <v>28056</v>
      </c>
      <c r="V129" s="18">
        <v>0</v>
      </c>
      <c r="W129" s="15">
        <f t="shared" si="103"/>
        <v>28056</v>
      </c>
      <c r="X129" s="18">
        <v>9802</v>
      </c>
      <c r="Y129" s="15">
        <f t="shared" si="104"/>
        <v>37858</v>
      </c>
      <c r="Z129" s="18">
        <v>13050</v>
      </c>
      <c r="AA129" s="15">
        <f t="shared" si="105"/>
        <v>50908</v>
      </c>
      <c r="AB129" s="18">
        <v>10614</v>
      </c>
      <c r="AC129" s="15">
        <f t="shared" si="106"/>
        <v>61522</v>
      </c>
    </row>
    <row r="130" spans="4:29" ht="15">
      <c r="D130" s="58"/>
      <c r="E130" s="5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2:29" ht="15.75">
      <c r="B131" s="69">
        <v>3400</v>
      </c>
      <c r="C131" s="67" t="s">
        <v>178</v>
      </c>
      <c r="D131" s="92">
        <f>SUM(D132:D136)</f>
        <v>368971.64</v>
      </c>
      <c r="E131" s="92">
        <f>SUM(E132:E136)</f>
        <v>327126.36</v>
      </c>
      <c r="F131" s="92">
        <f aca="true" t="shared" si="107" ref="F131:AC131">SUM(F132:F136)</f>
        <v>26253.84</v>
      </c>
      <c r="G131" s="92">
        <f t="shared" si="107"/>
        <v>26253.84</v>
      </c>
      <c r="H131" s="92">
        <f>SUM(H132:H136)</f>
        <v>26192.8</v>
      </c>
      <c r="I131" s="92">
        <f t="shared" si="107"/>
        <v>52446.64000000001</v>
      </c>
      <c r="J131" s="92">
        <f>SUM(J132:J136)</f>
        <v>26185.550000000003</v>
      </c>
      <c r="K131" s="92">
        <f t="shared" si="107"/>
        <v>78632.19</v>
      </c>
      <c r="L131" s="92">
        <f t="shared" si="107"/>
        <v>26011.370000000003</v>
      </c>
      <c r="M131" s="92">
        <f t="shared" si="107"/>
        <v>104643.56</v>
      </c>
      <c r="N131" s="92">
        <f>SUM(N132:N136)</f>
        <v>26778.5</v>
      </c>
      <c r="O131" s="92">
        <f t="shared" si="107"/>
        <v>131422.06</v>
      </c>
      <c r="P131" s="92">
        <f>SUM(P132:P136)</f>
        <v>28885.81</v>
      </c>
      <c r="Q131" s="92">
        <f t="shared" si="107"/>
        <v>160307.87000000002</v>
      </c>
      <c r="R131" s="92">
        <f>SUM(R132:R136)</f>
        <v>26896.02</v>
      </c>
      <c r="S131" s="92">
        <f t="shared" si="107"/>
        <v>187203.89</v>
      </c>
      <c r="T131" s="92">
        <f t="shared" si="107"/>
        <v>27582.560000000005</v>
      </c>
      <c r="U131" s="92">
        <f t="shared" si="107"/>
        <v>214786.45</v>
      </c>
      <c r="V131" s="92">
        <f>SUM(V132:V136)</f>
        <v>27253.500000000004</v>
      </c>
      <c r="W131" s="92">
        <f t="shared" si="107"/>
        <v>242039.95</v>
      </c>
      <c r="X131" s="92">
        <f>SUM(X132:X136)</f>
        <v>29649.77</v>
      </c>
      <c r="Y131" s="92">
        <f t="shared" si="107"/>
        <v>271689.72000000003</v>
      </c>
      <c r="Z131" s="92">
        <f t="shared" si="107"/>
        <v>26900.1</v>
      </c>
      <c r="AA131" s="92">
        <f t="shared" si="107"/>
        <v>298589.82</v>
      </c>
      <c r="AB131" s="92">
        <f>SUM(AB132:AB136)</f>
        <v>28536.54</v>
      </c>
      <c r="AC131" s="92">
        <f t="shared" si="107"/>
        <v>327126.36</v>
      </c>
    </row>
    <row r="132" spans="2:29" ht="15">
      <c r="B132" s="57">
        <v>3411</v>
      </c>
      <c r="C132" s="26" t="s">
        <v>188</v>
      </c>
      <c r="D132" s="58">
        <f>+PRESUPACUM!D132</f>
        <v>60000</v>
      </c>
      <c r="E132" s="58">
        <f>+PRESUPACUM!E132</f>
        <v>19259.480000000003</v>
      </c>
      <c r="F132" s="18">
        <v>1421</v>
      </c>
      <c r="G132" s="59">
        <f>+F132</f>
        <v>1421</v>
      </c>
      <c r="H132" s="18">
        <v>1315.44</v>
      </c>
      <c r="I132" s="15">
        <f>+G132+H132</f>
        <v>2736.44</v>
      </c>
      <c r="J132" s="18">
        <v>1360.68</v>
      </c>
      <c r="K132" s="15">
        <f>+I132+J132</f>
        <v>4097.12</v>
      </c>
      <c r="L132" s="18">
        <v>290</v>
      </c>
      <c r="M132" s="15">
        <f>+K132+L132</f>
        <v>4387.12</v>
      </c>
      <c r="N132" s="18">
        <v>1056.76</v>
      </c>
      <c r="O132" s="15">
        <f>+M132+N132</f>
        <v>5443.88</v>
      </c>
      <c r="P132" s="18">
        <v>3117.5</v>
      </c>
      <c r="Q132" s="15">
        <f>+O132+P132</f>
        <v>8561.380000000001</v>
      </c>
      <c r="R132" s="18">
        <v>1134.48</v>
      </c>
      <c r="S132" s="15">
        <f>+Q132+R132</f>
        <v>9695.86</v>
      </c>
      <c r="T132" s="18">
        <v>1798.58</v>
      </c>
      <c r="U132" s="15">
        <f>+S132+T132</f>
        <v>11494.44</v>
      </c>
      <c r="V132" s="18">
        <v>1409.4</v>
      </c>
      <c r="W132" s="15">
        <f>+U132+V132</f>
        <v>12903.84</v>
      </c>
      <c r="X132" s="18">
        <v>3826.84</v>
      </c>
      <c r="Y132" s="15">
        <f>+W132+X132</f>
        <v>16730.68</v>
      </c>
      <c r="Z132" s="18">
        <v>1229.6</v>
      </c>
      <c r="AA132" s="15">
        <f>+Y132+Z132</f>
        <v>17960.28</v>
      </c>
      <c r="AB132" s="18">
        <v>1299.2</v>
      </c>
      <c r="AC132" s="15">
        <f>+AA132+AB132</f>
        <v>19259.48</v>
      </c>
    </row>
    <row r="133" spans="2:29" ht="15">
      <c r="B133" s="57">
        <v>3441</v>
      </c>
      <c r="C133" s="26" t="s">
        <v>180</v>
      </c>
      <c r="D133" s="58">
        <f>+PRESUPACUM!D133</f>
        <v>5000</v>
      </c>
      <c r="E133" s="58">
        <f>+PRESUPACUM!E133</f>
        <v>0</v>
      </c>
      <c r="F133" s="18">
        <v>0</v>
      </c>
      <c r="G133" s="59">
        <f>+F133</f>
        <v>0</v>
      </c>
      <c r="H133" s="18">
        <v>0</v>
      </c>
      <c r="I133" s="15">
        <f>+G133+H133</f>
        <v>0</v>
      </c>
      <c r="J133" s="18">
        <v>0</v>
      </c>
      <c r="K133" s="15">
        <f>+I133+J133</f>
        <v>0</v>
      </c>
      <c r="L133" s="18">
        <v>0</v>
      </c>
      <c r="M133" s="15">
        <f>+K133+L133</f>
        <v>0</v>
      </c>
      <c r="N133" s="18">
        <v>0</v>
      </c>
      <c r="O133" s="15">
        <f>+M133+N133</f>
        <v>0</v>
      </c>
      <c r="P133" s="18">
        <v>0</v>
      </c>
      <c r="Q133" s="15">
        <f>+O133+P133</f>
        <v>0</v>
      </c>
      <c r="R133" s="18">
        <v>0</v>
      </c>
      <c r="S133" s="15">
        <f>+Q133+R133</f>
        <v>0</v>
      </c>
      <c r="T133" s="18">
        <v>0</v>
      </c>
      <c r="U133" s="15">
        <f>+S133+T133</f>
        <v>0</v>
      </c>
      <c r="V133" s="18">
        <v>0</v>
      </c>
      <c r="W133" s="15">
        <f>+U133+V133</f>
        <v>0</v>
      </c>
      <c r="X133" s="18">
        <v>0</v>
      </c>
      <c r="Y133" s="15">
        <f>+W133+X133</f>
        <v>0</v>
      </c>
      <c r="Z133" s="18">
        <v>0</v>
      </c>
      <c r="AA133" s="15">
        <f>+Y133+Z133</f>
        <v>0</v>
      </c>
      <c r="AB133" s="18">
        <v>0</v>
      </c>
      <c r="AC133" s="15">
        <f>+AA133+AB133</f>
        <v>0</v>
      </c>
    </row>
    <row r="134" spans="2:29" ht="15">
      <c r="B134" s="57">
        <v>3451</v>
      </c>
      <c r="C134" s="26" t="s">
        <v>136</v>
      </c>
      <c r="D134" s="58">
        <f>+PRESUPACUM!D134</f>
        <v>273971.64</v>
      </c>
      <c r="E134" s="58">
        <f>+PRESUPACUM!E134</f>
        <v>275398.75</v>
      </c>
      <c r="F134" s="18">
        <v>22830.97</v>
      </c>
      <c r="G134" s="59">
        <f>+F134</f>
        <v>22830.97</v>
      </c>
      <c r="H134" s="18">
        <v>22830.97</v>
      </c>
      <c r="I134" s="15">
        <f>+G134+H134</f>
        <v>45661.94</v>
      </c>
      <c r="J134" s="18">
        <v>22830.97</v>
      </c>
      <c r="K134" s="15">
        <f>+I134+J134</f>
        <v>68492.91</v>
      </c>
      <c r="L134" s="18">
        <v>22830.97</v>
      </c>
      <c r="M134" s="15">
        <f>+K134+L134</f>
        <v>91323.88</v>
      </c>
      <c r="N134" s="18">
        <v>22830.97</v>
      </c>
      <c r="O134" s="15">
        <f>+M134+N134</f>
        <v>114154.85</v>
      </c>
      <c r="P134" s="18">
        <v>22830.97</v>
      </c>
      <c r="Q134" s="15">
        <f>+O134+P134</f>
        <v>136985.82</v>
      </c>
      <c r="R134" s="18">
        <v>22830.97</v>
      </c>
      <c r="S134" s="15">
        <f>+Q134+R134</f>
        <v>159816.79</v>
      </c>
      <c r="T134" s="18">
        <v>22830.97</v>
      </c>
      <c r="U134" s="15">
        <f>+S134+T134</f>
        <v>182647.76</v>
      </c>
      <c r="V134" s="18">
        <v>22830.97</v>
      </c>
      <c r="W134" s="15">
        <f>+U134+V134</f>
        <v>205478.73</v>
      </c>
      <c r="X134" s="18">
        <v>22830.97</v>
      </c>
      <c r="Y134" s="15">
        <f>+W134+X134</f>
        <v>228309.7</v>
      </c>
      <c r="Z134" s="18">
        <v>22830.97</v>
      </c>
      <c r="AA134" s="15">
        <f>+Y134+Z134</f>
        <v>251140.67</v>
      </c>
      <c r="AB134" s="18">
        <v>24258.08</v>
      </c>
      <c r="AC134" s="15">
        <f>+AA134+AB134</f>
        <v>275398.75</v>
      </c>
    </row>
    <row r="135" spans="2:29" ht="15">
      <c r="B135" s="57">
        <v>3471</v>
      </c>
      <c r="C135" s="14" t="s">
        <v>78</v>
      </c>
      <c r="D135" s="58">
        <f>+PRESUPACUM!D135</f>
        <v>0</v>
      </c>
      <c r="E135" s="58">
        <f>+PRESUPACUM!E135</f>
        <v>0</v>
      </c>
      <c r="F135" s="18">
        <v>0</v>
      </c>
      <c r="G135" s="59">
        <f>+F135</f>
        <v>0</v>
      </c>
      <c r="H135" s="18">
        <v>0</v>
      </c>
      <c r="I135" s="15">
        <f>+G135+H135</f>
        <v>0</v>
      </c>
      <c r="J135" s="18">
        <v>0</v>
      </c>
      <c r="K135" s="15">
        <f>+I135+J135</f>
        <v>0</v>
      </c>
      <c r="L135" s="18">
        <v>0</v>
      </c>
      <c r="M135" s="15">
        <f>+K135+L135</f>
        <v>0</v>
      </c>
      <c r="N135" s="18">
        <v>0</v>
      </c>
      <c r="O135" s="15">
        <f>+M135+N135</f>
        <v>0</v>
      </c>
      <c r="P135" s="18">
        <v>0</v>
      </c>
      <c r="Q135" s="15">
        <f>+O135+P135</f>
        <v>0</v>
      </c>
      <c r="R135" s="18">
        <v>0</v>
      </c>
      <c r="S135" s="15">
        <f>+Q135+R135</f>
        <v>0</v>
      </c>
      <c r="T135" s="18">
        <v>0</v>
      </c>
      <c r="U135" s="15">
        <f>+S135+T135</f>
        <v>0</v>
      </c>
      <c r="V135" s="18">
        <v>0</v>
      </c>
      <c r="W135" s="15">
        <f>+U135+V135</f>
        <v>0</v>
      </c>
      <c r="X135" s="18">
        <v>0</v>
      </c>
      <c r="Y135" s="15">
        <f>+W135+X135</f>
        <v>0</v>
      </c>
      <c r="Z135" s="18">
        <v>0</v>
      </c>
      <c r="AA135" s="15">
        <f>+Y135+Z135</f>
        <v>0</v>
      </c>
      <c r="AB135" s="18">
        <v>0</v>
      </c>
      <c r="AC135" s="15">
        <f>+AA135+AB135</f>
        <v>0</v>
      </c>
    </row>
    <row r="136" spans="2:29" ht="15">
      <c r="B136" s="57">
        <v>3499</v>
      </c>
      <c r="C136" s="14" t="s">
        <v>137</v>
      </c>
      <c r="D136" s="58">
        <f>+PRESUPACUM!D136</f>
        <v>30000</v>
      </c>
      <c r="E136" s="58">
        <f>+PRESUPACUM!E136</f>
        <v>32468.130000000005</v>
      </c>
      <c r="F136" s="18">
        <v>2001.87</v>
      </c>
      <c r="G136" s="59">
        <f>+F136</f>
        <v>2001.87</v>
      </c>
      <c r="H136" s="18">
        <v>2046.39</v>
      </c>
      <c r="I136" s="15">
        <f>+G136+H136</f>
        <v>4048.26</v>
      </c>
      <c r="J136" s="18">
        <v>1993.9</v>
      </c>
      <c r="K136" s="15">
        <f>+I136+J136</f>
        <v>6042.16</v>
      </c>
      <c r="L136" s="18">
        <v>2890.4</v>
      </c>
      <c r="M136" s="15">
        <f>+K136+L136</f>
        <v>8932.56</v>
      </c>
      <c r="N136" s="18">
        <v>2890.77</v>
      </c>
      <c r="O136" s="15">
        <f>+M136+N136</f>
        <v>11823.33</v>
      </c>
      <c r="P136" s="18">
        <v>2937.34</v>
      </c>
      <c r="Q136" s="15">
        <f>+O136+P136</f>
        <v>14760.67</v>
      </c>
      <c r="R136" s="18">
        <v>2930.57</v>
      </c>
      <c r="S136" s="15">
        <f>+Q136+R136</f>
        <v>17691.24</v>
      </c>
      <c r="T136" s="18">
        <v>2953.01</v>
      </c>
      <c r="U136" s="15">
        <f>+S136+T136</f>
        <v>20644.25</v>
      </c>
      <c r="V136" s="18">
        <v>3013.13</v>
      </c>
      <c r="W136" s="15">
        <f>+U136+V136</f>
        <v>23657.38</v>
      </c>
      <c r="X136" s="18">
        <v>2991.96</v>
      </c>
      <c r="Y136" s="15">
        <f>+W136+X136</f>
        <v>26649.34</v>
      </c>
      <c r="Z136" s="18">
        <v>2839.53</v>
      </c>
      <c r="AA136" s="15">
        <f>+Y136+Z136</f>
        <v>29488.87</v>
      </c>
      <c r="AB136" s="18">
        <v>2979.26</v>
      </c>
      <c r="AC136" s="15">
        <f>+AA136+AB136</f>
        <v>32468.129999999997</v>
      </c>
    </row>
    <row r="137" spans="2:29" ht="15.75">
      <c r="B137" s="83"/>
      <c r="C137" s="26"/>
      <c r="D137" s="95"/>
      <c r="E137" s="95"/>
      <c r="F137" s="19"/>
      <c r="G137" s="15"/>
      <c r="H137" s="19"/>
      <c r="I137" s="15"/>
      <c r="J137" s="19"/>
      <c r="K137" s="15"/>
      <c r="L137" s="19"/>
      <c r="M137" s="15"/>
      <c r="N137" s="19"/>
      <c r="O137" s="15"/>
      <c r="P137" s="19"/>
      <c r="Q137" s="15"/>
      <c r="R137" s="19"/>
      <c r="S137" s="15"/>
      <c r="T137" s="19"/>
      <c r="U137" s="15"/>
      <c r="V137" s="19"/>
      <c r="W137" s="15"/>
      <c r="X137" s="19"/>
      <c r="Y137" s="15"/>
      <c r="Z137" s="19"/>
      <c r="AA137" s="15"/>
      <c r="AB137" s="19"/>
      <c r="AC137" s="15"/>
    </row>
    <row r="138" spans="2:29" ht="15.75">
      <c r="B138" s="69">
        <v>3500</v>
      </c>
      <c r="C138" s="67" t="s">
        <v>139</v>
      </c>
      <c r="D138" s="92">
        <f aca="true" t="shared" si="108" ref="D138:AC138">SUM(D139:D145)</f>
        <v>4209043.45</v>
      </c>
      <c r="E138" s="92">
        <f>SUM(E139:E145)</f>
        <v>3675570.7</v>
      </c>
      <c r="F138" s="70">
        <f t="shared" si="108"/>
        <v>266040.64</v>
      </c>
      <c r="G138" s="70">
        <f t="shared" si="108"/>
        <v>266040.64</v>
      </c>
      <c r="H138" s="70">
        <f>SUM(H139:H145)</f>
        <v>266040.65</v>
      </c>
      <c r="I138" s="70">
        <f t="shared" si="108"/>
        <v>532081.29</v>
      </c>
      <c r="J138" s="70">
        <f>SUM(J139:J145)</f>
        <v>293651.66000000003</v>
      </c>
      <c r="K138" s="70">
        <f t="shared" si="108"/>
        <v>825732.9500000001</v>
      </c>
      <c r="L138" s="70">
        <f t="shared" si="108"/>
        <v>306373.99</v>
      </c>
      <c r="M138" s="70">
        <f t="shared" si="108"/>
        <v>1132106.94</v>
      </c>
      <c r="N138" s="70">
        <f>SUM(N139:N145)</f>
        <v>285151.64999999997</v>
      </c>
      <c r="O138" s="70">
        <f t="shared" si="108"/>
        <v>1417258.5899999999</v>
      </c>
      <c r="P138" s="70">
        <f>SUM(P139:P145)</f>
        <v>337605.48000000004</v>
      </c>
      <c r="Q138" s="70">
        <f t="shared" si="108"/>
        <v>1754864.07</v>
      </c>
      <c r="R138" s="70">
        <f>SUM(R139:R145)</f>
        <v>334863.47000000003</v>
      </c>
      <c r="S138" s="70">
        <f t="shared" si="108"/>
        <v>2089727.54</v>
      </c>
      <c r="T138" s="70">
        <f t="shared" si="108"/>
        <v>331526.87</v>
      </c>
      <c r="U138" s="70">
        <f t="shared" si="108"/>
        <v>2421254.41</v>
      </c>
      <c r="V138" s="70">
        <f>SUM(V139:V145)</f>
        <v>316796.66000000003</v>
      </c>
      <c r="W138" s="70">
        <f t="shared" si="108"/>
        <v>2738051.0700000003</v>
      </c>
      <c r="X138" s="70">
        <f>SUM(X139:X145)</f>
        <v>326611.58</v>
      </c>
      <c r="Y138" s="70">
        <f t="shared" si="108"/>
        <v>3064662.65</v>
      </c>
      <c r="Z138" s="70">
        <f t="shared" si="108"/>
        <v>286715.17</v>
      </c>
      <c r="AA138" s="70">
        <f t="shared" si="108"/>
        <v>3351377.8200000003</v>
      </c>
      <c r="AB138" s="70">
        <f>SUM(AB139:AB145)</f>
        <v>324192.88</v>
      </c>
      <c r="AC138" s="70">
        <f t="shared" si="108"/>
        <v>3675570.7</v>
      </c>
    </row>
    <row r="139" spans="2:29" ht="15">
      <c r="B139" s="81">
        <v>3511</v>
      </c>
      <c r="C139" s="26" t="s">
        <v>140</v>
      </c>
      <c r="D139" s="94">
        <f>+PRESUPACUM!D139</f>
        <v>129204</v>
      </c>
      <c r="E139" s="94">
        <f>+PRESUPACUM!E139</f>
        <v>148229.38</v>
      </c>
      <c r="F139" s="72">
        <v>10766.76</v>
      </c>
      <c r="G139" s="59">
        <f aca="true" t="shared" si="109" ref="G139:G145">+F139</f>
        <v>10766.76</v>
      </c>
      <c r="H139" s="72">
        <v>10766.77</v>
      </c>
      <c r="I139" s="15">
        <f aca="true" t="shared" si="110" ref="I139:I145">+G139+H139</f>
        <v>21533.53</v>
      </c>
      <c r="J139" s="72">
        <v>10766.77</v>
      </c>
      <c r="K139" s="15">
        <f aca="true" t="shared" si="111" ref="K139:K145">+I139+J139</f>
        <v>32300.3</v>
      </c>
      <c r="L139" s="72">
        <v>11288.77</v>
      </c>
      <c r="M139" s="15">
        <f aca="true" t="shared" si="112" ref="M139:M145">+K139+L139</f>
        <v>43589.07</v>
      </c>
      <c r="N139" s="72">
        <v>10766.77</v>
      </c>
      <c r="O139" s="15">
        <f aca="true" t="shared" si="113" ref="O139:O145">+M139+N139</f>
        <v>54355.84</v>
      </c>
      <c r="P139" s="72">
        <v>12738.77</v>
      </c>
      <c r="Q139" s="15">
        <f aca="true" t="shared" si="114" ref="Q139:Q145">+O139+P139</f>
        <v>67094.61</v>
      </c>
      <c r="R139" s="72">
        <v>11636.77</v>
      </c>
      <c r="S139" s="15">
        <f aca="true" t="shared" si="115" ref="S139:S145">+Q139+R139</f>
        <v>78731.38</v>
      </c>
      <c r="T139" s="72">
        <v>11346.77</v>
      </c>
      <c r="U139" s="15">
        <f aca="true" t="shared" si="116" ref="U139:U145">+S139+T139</f>
        <v>90078.15000000001</v>
      </c>
      <c r="V139" s="72">
        <v>30766.77</v>
      </c>
      <c r="W139" s="15">
        <f aca="true" t="shared" si="117" ref="W139:W145">+U139+V139</f>
        <v>120844.92000000001</v>
      </c>
      <c r="X139" s="72">
        <v>5850.92</v>
      </c>
      <c r="Y139" s="15">
        <f aca="true" t="shared" si="118" ref="Y139:Y145">+W139+X139</f>
        <v>126695.84000000001</v>
      </c>
      <c r="Z139" s="72">
        <v>10766.77</v>
      </c>
      <c r="AA139" s="15">
        <f aca="true" t="shared" si="119" ref="AA139:AA145">+Y139+Z139</f>
        <v>137462.61000000002</v>
      </c>
      <c r="AB139" s="72">
        <v>10766.77</v>
      </c>
      <c r="AC139" s="15">
        <f aca="true" t="shared" si="120" ref="AC139:AC145">+AA139+AB139</f>
        <v>148229.38</v>
      </c>
    </row>
    <row r="140" spans="2:29" ht="15">
      <c r="B140" s="57">
        <v>3521</v>
      </c>
      <c r="C140" s="14" t="s">
        <v>141</v>
      </c>
      <c r="D140" s="58">
        <f>+PRESUPACUM!D140</f>
        <v>330000</v>
      </c>
      <c r="E140" s="58">
        <f>+PRESUPACUM!E140</f>
        <v>55413.19999999998</v>
      </c>
      <c r="F140" s="18">
        <v>0</v>
      </c>
      <c r="G140" s="59">
        <f t="shared" si="109"/>
        <v>0</v>
      </c>
      <c r="H140" s="18">
        <v>0</v>
      </c>
      <c r="I140" s="15">
        <f t="shared" si="110"/>
        <v>0</v>
      </c>
      <c r="J140" s="18">
        <v>0</v>
      </c>
      <c r="K140" s="15">
        <f t="shared" si="111"/>
        <v>0</v>
      </c>
      <c r="L140" s="18">
        <v>1867.6</v>
      </c>
      <c r="M140" s="15">
        <f t="shared" si="112"/>
        <v>1867.6</v>
      </c>
      <c r="N140" s="18">
        <v>0</v>
      </c>
      <c r="O140" s="15">
        <f t="shared" si="113"/>
        <v>1867.6</v>
      </c>
      <c r="P140" s="18">
        <v>40368</v>
      </c>
      <c r="Q140" s="15">
        <f t="shared" si="114"/>
        <v>42235.6</v>
      </c>
      <c r="R140" s="18">
        <v>2789.8</v>
      </c>
      <c r="S140" s="15">
        <f t="shared" si="115"/>
        <v>45025.4</v>
      </c>
      <c r="T140" s="18">
        <v>4953.2</v>
      </c>
      <c r="U140" s="15">
        <f t="shared" si="116"/>
        <v>49978.6</v>
      </c>
      <c r="V140" s="18">
        <v>2668</v>
      </c>
      <c r="W140" s="15">
        <f t="shared" si="117"/>
        <v>52646.6</v>
      </c>
      <c r="X140" s="18">
        <v>2766.6</v>
      </c>
      <c r="Y140" s="15">
        <f t="shared" si="118"/>
        <v>55413.2</v>
      </c>
      <c r="Z140" s="18">
        <v>0</v>
      </c>
      <c r="AA140" s="15">
        <f t="shared" si="119"/>
        <v>55413.2</v>
      </c>
      <c r="AB140" s="18">
        <v>0</v>
      </c>
      <c r="AC140" s="15">
        <f t="shared" si="120"/>
        <v>55413.2</v>
      </c>
    </row>
    <row r="141" spans="2:29" ht="15">
      <c r="B141" s="57">
        <v>3531</v>
      </c>
      <c r="C141" s="14" t="s">
        <v>142</v>
      </c>
      <c r="D141" s="58">
        <f>+PRESUPACUM!D141</f>
        <v>2077455.7400000005</v>
      </c>
      <c r="E141" s="58">
        <f>+PRESUPACUM!E141</f>
        <v>2108321.2800000003</v>
      </c>
      <c r="F141" s="18">
        <v>133640.26</v>
      </c>
      <c r="G141" s="59">
        <f t="shared" si="109"/>
        <v>133640.26</v>
      </c>
      <c r="H141" s="18">
        <v>133640.26</v>
      </c>
      <c r="I141" s="15">
        <f>+G141+H141</f>
        <v>267280.52</v>
      </c>
      <c r="J141" s="18">
        <v>252083.38</v>
      </c>
      <c r="K141" s="15">
        <f>+I141+J141</f>
        <v>519363.9</v>
      </c>
      <c r="L141" s="18">
        <v>173121.3</v>
      </c>
      <c r="M141" s="15">
        <f>+K141+L141</f>
        <v>692485.2</v>
      </c>
      <c r="N141" s="18">
        <v>173121.3</v>
      </c>
      <c r="O141" s="15">
        <f>+M141+N141</f>
        <v>865606.5</v>
      </c>
      <c r="P141" s="18">
        <v>178258.13</v>
      </c>
      <c r="Q141" s="15">
        <f>+O141+P141</f>
        <v>1043864.63</v>
      </c>
      <c r="R141" s="18">
        <v>173121.32</v>
      </c>
      <c r="S141" s="15">
        <f>+Q141+R141</f>
        <v>1216985.95</v>
      </c>
      <c r="T141" s="18">
        <v>199270.07</v>
      </c>
      <c r="U141" s="15">
        <f>+S141+T141</f>
        <v>1416256.02</v>
      </c>
      <c r="V141" s="18">
        <v>173121.32</v>
      </c>
      <c r="W141" s="15">
        <f>+U141+V141</f>
        <v>1589377.34</v>
      </c>
      <c r="X141" s="18">
        <v>173121.32</v>
      </c>
      <c r="Y141" s="15">
        <f>+W141+X141</f>
        <v>1762498.6600000001</v>
      </c>
      <c r="Z141" s="18">
        <v>165989.64</v>
      </c>
      <c r="AA141" s="15">
        <f>+Y141+Z141</f>
        <v>1928488.3000000003</v>
      </c>
      <c r="AB141" s="18">
        <v>179832.98</v>
      </c>
      <c r="AC141" s="15">
        <f>+AA141+AB141</f>
        <v>2108321.2800000003</v>
      </c>
    </row>
    <row r="142" spans="2:29" ht="15">
      <c r="B142" s="57">
        <v>3553</v>
      </c>
      <c r="C142" s="14" t="s">
        <v>181</v>
      </c>
      <c r="D142" s="58">
        <f>+PRESUPACUM!D142</f>
        <v>150000</v>
      </c>
      <c r="E142" s="58">
        <f>+PRESUPACUM!E142</f>
        <v>101709.14</v>
      </c>
      <c r="F142" s="18">
        <v>39481.04</v>
      </c>
      <c r="G142" s="59">
        <f t="shared" si="109"/>
        <v>39481.04</v>
      </c>
      <c r="H142" s="18">
        <v>39481.04</v>
      </c>
      <c r="I142" s="15">
        <f t="shared" si="110"/>
        <v>78962.08</v>
      </c>
      <c r="J142" s="18">
        <f>47981.05-118443.12</f>
        <v>-70462.06999999999</v>
      </c>
      <c r="K142" s="15">
        <f t="shared" si="111"/>
        <v>8500.01000000001</v>
      </c>
      <c r="L142" s="18">
        <v>0</v>
      </c>
      <c r="M142" s="15">
        <f t="shared" si="112"/>
        <v>8500.01000000001</v>
      </c>
      <c r="N142" s="18">
        <v>0</v>
      </c>
      <c r="O142" s="15">
        <f t="shared" si="113"/>
        <v>8500.01000000001</v>
      </c>
      <c r="P142" s="18">
        <v>4977</v>
      </c>
      <c r="Q142" s="15">
        <f t="shared" si="114"/>
        <v>13477.01000000001</v>
      </c>
      <c r="R142" s="18">
        <v>0</v>
      </c>
      <c r="S142" s="15">
        <f t="shared" si="115"/>
        <v>13477.01000000001</v>
      </c>
      <c r="T142" s="18">
        <v>14693.25</v>
      </c>
      <c r="U142" s="15">
        <f t="shared" si="116"/>
        <v>28170.26000000001</v>
      </c>
      <c r="V142" s="18">
        <v>4164.99</v>
      </c>
      <c r="W142" s="15">
        <f t="shared" si="117"/>
        <v>32335.250000000007</v>
      </c>
      <c r="X142" s="18">
        <v>25629.16</v>
      </c>
      <c r="Y142" s="15">
        <f t="shared" si="118"/>
        <v>57964.41</v>
      </c>
      <c r="Z142" s="18">
        <v>15069.18</v>
      </c>
      <c r="AA142" s="15">
        <f t="shared" si="119"/>
        <v>73033.59</v>
      </c>
      <c r="AB142" s="18">
        <v>28675.55</v>
      </c>
      <c r="AC142" s="15">
        <f t="shared" si="120"/>
        <v>101709.14</v>
      </c>
    </row>
    <row r="143" spans="2:29" ht="15">
      <c r="B143" s="57">
        <v>3571</v>
      </c>
      <c r="C143" s="14" t="s">
        <v>192</v>
      </c>
      <c r="D143" s="58">
        <f>+PRESUPACUM!D143</f>
        <v>508832.73</v>
      </c>
      <c r="E143" s="58">
        <f>+PRESUPACUM!E143</f>
        <v>257898.74</v>
      </c>
      <c r="F143" s="18">
        <v>0</v>
      </c>
      <c r="G143" s="59">
        <f>+F143</f>
        <v>0</v>
      </c>
      <c r="H143" s="18">
        <v>0</v>
      </c>
      <c r="I143" s="15">
        <f>+G143+H143</f>
        <v>0</v>
      </c>
      <c r="J143" s="18">
        <v>19111</v>
      </c>
      <c r="K143" s="15">
        <f>+I143+J143</f>
        <v>19111</v>
      </c>
      <c r="L143" s="18">
        <v>36833.74</v>
      </c>
      <c r="M143" s="15">
        <f>+K143+L143</f>
        <v>55944.74</v>
      </c>
      <c r="N143" s="18">
        <v>19111</v>
      </c>
      <c r="O143" s="15">
        <f>+M143+N143</f>
        <v>75055.73999999999</v>
      </c>
      <c r="P143" s="18">
        <v>19111</v>
      </c>
      <c r="Q143" s="15">
        <f>+O143+P143</f>
        <v>94166.73999999999</v>
      </c>
      <c r="R143" s="18">
        <v>59711</v>
      </c>
      <c r="S143" s="15">
        <f>+Q143+R143</f>
        <v>153877.74</v>
      </c>
      <c r="T143" s="18">
        <v>19111</v>
      </c>
      <c r="U143" s="15">
        <f>+S143+T143</f>
        <v>172988.74</v>
      </c>
      <c r="V143" s="18">
        <v>20211</v>
      </c>
      <c r="W143" s="15">
        <f>+U143+V143</f>
        <v>193199.74</v>
      </c>
      <c r="X143" s="18">
        <v>35235</v>
      </c>
      <c r="Y143" s="15">
        <f>+W143+X143</f>
        <v>228434.74</v>
      </c>
      <c r="Z143" s="18">
        <v>10411</v>
      </c>
      <c r="AA143" s="15">
        <f>+Y143+Z143</f>
        <v>238845.74</v>
      </c>
      <c r="AB143" s="18">
        <v>19053</v>
      </c>
      <c r="AC143" s="15">
        <f>+AA143+AB143</f>
        <v>257898.74</v>
      </c>
    </row>
    <row r="144" spans="2:29" ht="15">
      <c r="B144" s="81">
        <v>3581</v>
      </c>
      <c r="C144" s="14" t="s">
        <v>143</v>
      </c>
      <c r="D144" s="93">
        <f>+PRESUPACUM!D144</f>
        <v>985830.9799999999</v>
      </c>
      <c r="E144" s="93">
        <f>+PRESUPACUM!E144</f>
        <v>987410.96</v>
      </c>
      <c r="F144" s="17">
        <v>82152.58</v>
      </c>
      <c r="G144" s="59">
        <f t="shared" si="109"/>
        <v>82152.58</v>
      </c>
      <c r="H144" s="17">
        <v>82152.58</v>
      </c>
      <c r="I144" s="15">
        <f t="shared" si="110"/>
        <v>164305.16</v>
      </c>
      <c r="J144" s="17">
        <v>82152.58</v>
      </c>
      <c r="K144" s="15">
        <f t="shared" si="111"/>
        <v>246457.74</v>
      </c>
      <c r="L144" s="17">
        <v>83262.58</v>
      </c>
      <c r="M144" s="15">
        <f t="shared" si="112"/>
        <v>329720.32</v>
      </c>
      <c r="N144" s="17">
        <v>82152.58</v>
      </c>
      <c r="O144" s="15">
        <f t="shared" si="113"/>
        <v>411872.9</v>
      </c>
      <c r="P144" s="17">
        <v>82152.58</v>
      </c>
      <c r="Q144" s="15">
        <f t="shared" si="114"/>
        <v>494025.48000000004</v>
      </c>
      <c r="R144" s="17">
        <v>82152.58</v>
      </c>
      <c r="S144" s="15">
        <f t="shared" si="115"/>
        <v>576178.06</v>
      </c>
      <c r="T144" s="17">
        <v>82152.58</v>
      </c>
      <c r="U144" s="15">
        <f t="shared" si="116"/>
        <v>658330.64</v>
      </c>
      <c r="V144" s="17">
        <v>82152.58</v>
      </c>
      <c r="W144" s="15">
        <f t="shared" si="117"/>
        <v>740483.22</v>
      </c>
      <c r="X144" s="17">
        <v>82152.58</v>
      </c>
      <c r="Y144" s="15">
        <f t="shared" si="118"/>
        <v>822635.7999999999</v>
      </c>
      <c r="Z144" s="17">
        <v>82622.58</v>
      </c>
      <c r="AA144" s="15">
        <f t="shared" si="119"/>
        <v>905258.3799999999</v>
      </c>
      <c r="AB144" s="17">
        <v>82152.58</v>
      </c>
      <c r="AC144" s="15">
        <f t="shared" si="120"/>
        <v>987410.9599999998</v>
      </c>
    </row>
    <row r="145" spans="2:29" ht="15">
      <c r="B145" s="78">
        <v>3591</v>
      </c>
      <c r="C145" s="8" t="s">
        <v>144</v>
      </c>
      <c r="D145" s="58">
        <f>+PRESUPACUM!D145</f>
        <v>27720</v>
      </c>
      <c r="E145" s="58">
        <f>+PRESUPACUM!E145</f>
        <v>16588</v>
      </c>
      <c r="F145" s="18">
        <v>0</v>
      </c>
      <c r="G145" s="59">
        <f t="shared" si="109"/>
        <v>0</v>
      </c>
      <c r="H145" s="18">
        <v>0</v>
      </c>
      <c r="I145" s="15">
        <f t="shared" si="110"/>
        <v>0</v>
      </c>
      <c r="J145" s="18">
        <v>0</v>
      </c>
      <c r="K145" s="15">
        <f t="shared" si="111"/>
        <v>0</v>
      </c>
      <c r="L145" s="18">
        <v>0</v>
      </c>
      <c r="M145" s="15">
        <f t="shared" si="112"/>
        <v>0</v>
      </c>
      <c r="N145" s="18">
        <v>0</v>
      </c>
      <c r="O145" s="15">
        <f t="shared" si="113"/>
        <v>0</v>
      </c>
      <c r="P145" s="18">
        <v>0</v>
      </c>
      <c r="Q145" s="15">
        <f t="shared" si="114"/>
        <v>0</v>
      </c>
      <c r="R145" s="18">
        <v>5452</v>
      </c>
      <c r="S145" s="15">
        <f t="shared" si="115"/>
        <v>5452</v>
      </c>
      <c r="T145" s="18">
        <v>0</v>
      </c>
      <c r="U145" s="15">
        <f t="shared" si="116"/>
        <v>5452</v>
      </c>
      <c r="V145" s="18">
        <v>3712</v>
      </c>
      <c r="W145" s="15">
        <f t="shared" si="117"/>
        <v>9164</v>
      </c>
      <c r="X145" s="18">
        <v>1856</v>
      </c>
      <c r="Y145" s="15">
        <f t="shared" si="118"/>
        <v>11020</v>
      </c>
      <c r="Z145" s="18">
        <v>1856</v>
      </c>
      <c r="AA145" s="15">
        <f t="shared" si="119"/>
        <v>12876</v>
      </c>
      <c r="AB145" s="18">
        <v>3712</v>
      </c>
      <c r="AC145" s="15">
        <f t="shared" si="120"/>
        <v>16588</v>
      </c>
    </row>
    <row r="146" spans="4:29" ht="15">
      <c r="D146" s="58"/>
      <c r="E146" s="5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2:29" ht="15.75">
      <c r="B147" s="69">
        <v>3600</v>
      </c>
      <c r="C147" s="67" t="s">
        <v>145</v>
      </c>
      <c r="D147" s="92">
        <f aca="true" t="shared" si="121" ref="D147:AC147">SUM(D148:D150)</f>
        <v>6305512.24</v>
      </c>
      <c r="E147" s="92">
        <f>SUM(E148:E150)</f>
        <v>813311.9100000001</v>
      </c>
      <c r="F147" s="70">
        <f t="shared" si="121"/>
        <v>57828.32</v>
      </c>
      <c r="G147" s="70">
        <f t="shared" si="121"/>
        <v>57828.32</v>
      </c>
      <c r="H147" s="70">
        <f>SUM(H148:H150)</f>
        <v>57828.32</v>
      </c>
      <c r="I147" s="70">
        <f t="shared" si="121"/>
        <v>115656.64</v>
      </c>
      <c r="J147" s="70">
        <f>SUM(J148:J150)</f>
        <v>57828.32</v>
      </c>
      <c r="K147" s="70">
        <f t="shared" si="121"/>
        <v>173484.96</v>
      </c>
      <c r="L147" s="70">
        <f t="shared" si="121"/>
        <v>57828.32</v>
      </c>
      <c r="M147" s="70">
        <f t="shared" si="121"/>
        <v>231313.28</v>
      </c>
      <c r="N147" s="70">
        <f>SUM(N148:N150)</f>
        <v>57828.32</v>
      </c>
      <c r="O147" s="70">
        <f t="shared" si="121"/>
        <v>289141.6</v>
      </c>
      <c r="P147" s="70">
        <f>SUM(P148:P150)</f>
        <v>57828.32</v>
      </c>
      <c r="Q147" s="70">
        <f t="shared" si="121"/>
        <v>346969.92000000004</v>
      </c>
      <c r="R147" s="70">
        <f>SUM(R148:R150)</f>
        <v>57828.32</v>
      </c>
      <c r="S147" s="70">
        <f t="shared" si="121"/>
        <v>404798.24</v>
      </c>
      <c r="T147" s="70">
        <f t="shared" si="121"/>
        <v>57828.32</v>
      </c>
      <c r="U147" s="70">
        <f t="shared" si="121"/>
        <v>462626.56000000006</v>
      </c>
      <c r="V147" s="70">
        <f>SUM(V148:V150)</f>
        <v>100140.48000000001</v>
      </c>
      <c r="W147" s="70">
        <f t="shared" si="121"/>
        <v>562767.04</v>
      </c>
      <c r="X147" s="70">
        <f>SUM(X148:X150)</f>
        <v>57828.32</v>
      </c>
      <c r="Y147" s="70">
        <f t="shared" si="121"/>
        <v>620595.3600000001</v>
      </c>
      <c r="Z147" s="70">
        <f t="shared" si="121"/>
        <v>57828.32</v>
      </c>
      <c r="AA147" s="70">
        <f t="shared" si="121"/>
        <v>678423.68</v>
      </c>
      <c r="AB147" s="70">
        <f>SUM(AB148:AB150)</f>
        <v>134888.23</v>
      </c>
      <c r="AC147" s="70">
        <f t="shared" si="121"/>
        <v>813311.91</v>
      </c>
    </row>
    <row r="148" spans="2:29" ht="15">
      <c r="B148" s="57">
        <v>3611</v>
      </c>
      <c r="C148" s="14" t="s">
        <v>219</v>
      </c>
      <c r="D148" s="94">
        <f>+PRESUPACUM!D148</f>
        <v>6001332.4</v>
      </c>
      <c r="E148" s="94">
        <f>+PRESUPACUM!E148</f>
        <v>469192.16000000015</v>
      </c>
      <c r="F148" s="72">
        <v>32480</v>
      </c>
      <c r="G148" s="59">
        <f>+F148</f>
        <v>32480</v>
      </c>
      <c r="H148" s="72">
        <v>32480</v>
      </c>
      <c r="I148" s="15">
        <f>+G148+H148</f>
        <v>64960</v>
      </c>
      <c r="J148" s="72">
        <v>32480</v>
      </c>
      <c r="K148" s="15">
        <f>+I148+J148</f>
        <v>97440</v>
      </c>
      <c r="L148" s="72">
        <v>32480</v>
      </c>
      <c r="M148" s="15">
        <f>+K148+L148</f>
        <v>129920</v>
      </c>
      <c r="N148" s="72">
        <v>32480</v>
      </c>
      <c r="O148" s="15">
        <f>+M148+N148</f>
        <v>162400</v>
      </c>
      <c r="P148" s="72">
        <v>32480</v>
      </c>
      <c r="Q148" s="15">
        <f>+O148+P148</f>
        <v>194880</v>
      </c>
      <c r="R148" s="72">
        <v>32480</v>
      </c>
      <c r="S148" s="15">
        <f>+Q148+R148</f>
        <v>227360</v>
      </c>
      <c r="T148" s="72">
        <v>32480</v>
      </c>
      <c r="U148" s="15">
        <f>+S148+T148</f>
        <v>259840</v>
      </c>
      <c r="V148" s="72">
        <v>74792.16</v>
      </c>
      <c r="W148" s="15">
        <f>+U148+V148</f>
        <v>334632.16000000003</v>
      </c>
      <c r="X148" s="72">
        <v>32480</v>
      </c>
      <c r="Y148" s="15">
        <f>+W148+X148</f>
        <v>367112.16000000003</v>
      </c>
      <c r="Z148" s="72">
        <v>32480</v>
      </c>
      <c r="AA148" s="15">
        <f>+Y148+Z148</f>
        <v>399592.16000000003</v>
      </c>
      <c r="AB148" s="72">
        <v>69600</v>
      </c>
      <c r="AC148" s="15">
        <f>+AA148+AB148</f>
        <v>469192.16000000003</v>
      </c>
    </row>
    <row r="149" spans="2:29" ht="15">
      <c r="B149" s="57">
        <v>3631</v>
      </c>
      <c r="C149" s="14" t="s">
        <v>244</v>
      </c>
      <c r="D149" s="94">
        <f>+PRESUPACUM!D149</f>
        <v>0</v>
      </c>
      <c r="E149" s="94">
        <f>+PRESUPACUM!E149</f>
        <v>39940.01</v>
      </c>
      <c r="F149" s="72">
        <v>0</v>
      </c>
      <c r="G149" s="59">
        <f>+F149</f>
        <v>0</v>
      </c>
      <c r="H149" s="72">
        <v>0</v>
      </c>
      <c r="I149" s="15">
        <f>+G149+H149</f>
        <v>0</v>
      </c>
      <c r="J149" s="72">
        <v>0</v>
      </c>
      <c r="K149" s="15">
        <f>+I149+J149</f>
        <v>0</v>
      </c>
      <c r="L149" s="72">
        <v>0</v>
      </c>
      <c r="M149" s="15">
        <f>+K149+L149</f>
        <v>0</v>
      </c>
      <c r="N149" s="72">
        <v>0</v>
      </c>
      <c r="O149" s="15">
        <f>+M149+N149</f>
        <v>0</v>
      </c>
      <c r="P149" s="72">
        <v>0</v>
      </c>
      <c r="Q149" s="15">
        <f>+O149+P149</f>
        <v>0</v>
      </c>
      <c r="R149" s="72">
        <v>0</v>
      </c>
      <c r="S149" s="15">
        <f>+Q149+R149</f>
        <v>0</v>
      </c>
      <c r="T149" s="72">
        <v>0</v>
      </c>
      <c r="U149" s="15">
        <f>+S149+T149</f>
        <v>0</v>
      </c>
      <c r="V149" s="72">
        <v>0</v>
      </c>
      <c r="W149" s="15">
        <f>+U149+V149</f>
        <v>0</v>
      </c>
      <c r="X149" s="72">
        <v>0</v>
      </c>
      <c r="Y149" s="15">
        <f>+W149+X149</f>
        <v>0</v>
      </c>
      <c r="Z149" s="72">
        <v>0</v>
      </c>
      <c r="AA149" s="15">
        <f>+Y149+Z149</f>
        <v>0</v>
      </c>
      <c r="AB149" s="72">
        <v>39940.01</v>
      </c>
      <c r="AC149" s="15">
        <f>+AA149+AB149</f>
        <v>39940.01</v>
      </c>
    </row>
    <row r="150" spans="2:29" ht="15">
      <c r="B150" s="57">
        <v>3661</v>
      </c>
      <c r="C150" s="14" t="s">
        <v>209</v>
      </c>
      <c r="D150" s="94">
        <f>+PRESUPACUM!D150</f>
        <v>304179.84</v>
      </c>
      <c r="E150" s="94">
        <f>+PRESUPACUM!E150</f>
        <v>304179.74000000005</v>
      </c>
      <c r="F150" s="72">
        <v>25348.32</v>
      </c>
      <c r="G150" s="59">
        <f>+F150</f>
        <v>25348.32</v>
      </c>
      <c r="H150" s="72">
        <v>25348.32</v>
      </c>
      <c r="I150" s="15">
        <f>+G150+H150</f>
        <v>50696.64</v>
      </c>
      <c r="J150" s="72">
        <v>25348.32</v>
      </c>
      <c r="K150" s="15">
        <f>+I150+J150</f>
        <v>76044.95999999999</v>
      </c>
      <c r="L150" s="72">
        <v>25348.32</v>
      </c>
      <c r="M150" s="15">
        <f>+K150+L150</f>
        <v>101393.28</v>
      </c>
      <c r="N150" s="72">
        <v>25348.32</v>
      </c>
      <c r="O150" s="15">
        <f>+M150+N150</f>
        <v>126741.6</v>
      </c>
      <c r="P150" s="72">
        <v>25348.32</v>
      </c>
      <c r="Q150" s="15">
        <f>+O150+P150</f>
        <v>152089.92</v>
      </c>
      <c r="R150" s="72">
        <v>25348.32</v>
      </c>
      <c r="S150" s="15">
        <f>+Q150+R150</f>
        <v>177438.24000000002</v>
      </c>
      <c r="T150" s="72">
        <v>25348.32</v>
      </c>
      <c r="U150" s="15">
        <f>+S150+T150</f>
        <v>202786.56000000003</v>
      </c>
      <c r="V150" s="72">
        <v>25348.32</v>
      </c>
      <c r="W150" s="15">
        <f>+U150+V150</f>
        <v>228134.88000000003</v>
      </c>
      <c r="X150" s="72">
        <v>25348.32</v>
      </c>
      <c r="Y150" s="15">
        <f>+W150+X150</f>
        <v>253483.20000000004</v>
      </c>
      <c r="Z150" s="72">
        <v>25348.32</v>
      </c>
      <c r="AA150" s="15">
        <f>+Y150+Z150</f>
        <v>278831.52</v>
      </c>
      <c r="AB150" s="72">
        <v>25348.22</v>
      </c>
      <c r="AC150" s="15">
        <f>+AA150+AB150</f>
        <v>304179.74</v>
      </c>
    </row>
    <row r="151" spans="4:29" ht="15">
      <c r="D151" s="58"/>
      <c r="E151" s="58"/>
      <c r="F151" s="15"/>
      <c r="G151" s="20"/>
      <c r="H151" s="15"/>
      <c r="I151" s="20"/>
      <c r="J151" s="15"/>
      <c r="K151" s="20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2:29" ht="15.75">
      <c r="B152" s="69">
        <v>3700</v>
      </c>
      <c r="C152" s="67" t="s">
        <v>146</v>
      </c>
      <c r="D152" s="92">
        <f aca="true" t="shared" si="122" ref="D152:AC152">SUM(D153:D158)</f>
        <v>50000</v>
      </c>
      <c r="E152" s="92">
        <f>SUM(E153:E158)</f>
        <v>171341.07</v>
      </c>
      <c r="F152" s="70">
        <f t="shared" si="122"/>
        <v>0</v>
      </c>
      <c r="G152" s="70">
        <f t="shared" si="122"/>
        <v>0</v>
      </c>
      <c r="H152" s="70">
        <f>SUM(H153:H158)</f>
        <v>4211.86</v>
      </c>
      <c r="I152" s="70">
        <f t="shared" si="122"/>
        <v>4211.86</v>
      </c>
      <c r="J152" s="70">
        <f>SUM(J153:J158)</f>
        <v>1138</v>
      </c>
      <c r="K152" s="70">
        <f t="shared" si="122"/>
        <v>5349.86</v>
      </c>
      <c r="L152" s="70">
        <f t="shared" si="122"/>
        <v>14251.08</v>
      </c>
      <c r="M152" s="70">
        <f t="shared" si="122"/>
        <v>19600.940000000002</v>
      </c>
      <c r="N152" s="70">
        <f>SUM(N153:N158)</f>
        <v>5697.5</v>
      </c>
      <c r="O152" s="70">
        <f t="shared" si="122"/>
        <v>25298.440000000002</v>
      </c>
      <c r="P152" s="70">
        <f>SUM(P153:P158)</f>
        <v>10476.61</v>
      </c>
      <c r="Q152" s="70">
        <f t="shared" si="122"/>
        <v>35775.05</v>
      </c>
      <c r="R152" s="70">
        <f>SUM(R153:R158)</f>
        <v>5286.15</v>
      </c>
      <c r="S152" s="70">
        <f t="shared" si="122"/>
        <v>41061.2</v>
      </c>
      <c r="T152" s="70">
        <f t="shared" si="122"/>
        <v>8631</v>
      </c>
      <c r="U152" s="70">
        <f t="shared" si="122"/>
        <v>49692.2</v>
      </c>
      <c r="V152" s="70">
        <f>SUM(V153:V158)</f>
        <v>2551.8</v>
      </c>
      <c r="W152" s="70">
        <f t="shared" si="122"/>
        <v>52243.99999999999</v>
      </c>
      <c r="X152" s="70">
        <f>SUM(X153:X158)</f>
        <v>55812.97</v>
      </c>
      <c r="Y152" s="70">
        <f t="shared" si="122"/>
        <v>108056.97</v>
      </c>
      <c r="Z152" s="70">
        <f t="shared" si="122"/>
        <v>10664.73</v>
      </c>
      <c r="AA152" s="70">
        <f t="shared" si="122"/>
        <v>118721.70000000001</v>
      </c>
      <c r="AB152" s="70">
        <f>SUM(AB153:AB158)</f>
        <v>52619.37000000001</v>
      </c>
      <c r="AC152" s="70">
        <f t="shared" si="122"/>
        <v>171341.07</v>
      </c>
    </row>
    <row r="153" spans="2:29" ht="15">
      <c r="B153" s="57">
        <v>3711</v>
      </c>
      <c r="C153" s="14" t="s">
        <v>147</v>
      </c>
      <c r="D153" s="93">
        <f>+PRESUPACUM!D153</f>
        <v>0</v>
      </c>
      <c r="E153" s="93">
        <f>+PRESUPACUM!E153</f>
        <v>22458</v>
      </c>
      <c r="F153" s="17">
        <v>0</v>
      </c>
      <c r="G153" s="59">
        <f aca="true" t="shared" si="123" ref="G153:G158">+F153</f>
        <v>0</v>
      </c>
      <c r="H153" s="17">
        <v>0</v>
      </c>
      <c r="I153" s="15">
        <f aca="true" t="shared" si="124" ref="I153:I158">+G153+H153</f>
        <v>0</v>
      </c>
      <c r="J153" s="17">
        <v>0</v>
      </c>
      <c r="K153" s="15">
        <f aca="true" t="shared" si="125" ref="K153:K158">+I153+J153</f>
        <v>0</v>
      </c>
      <c r="L153" s="17">
        <v>0</v>
      </c>
      <c r="M153" s="15">
        <f aca="true" t="shared" si="126" ref="M153:M158">+K153+L153</f>
        <v>0</v>
      </c>
      <c r="N153" s="17">
        <v>0</v>
      </c>
      <c r="O153" s="15">
        <f aca="true" t="shared" si="127" ref="O153:O158">+M153+N153</f>
        <v>0</v>
      </c>
      <c r="P153" s="17">
        <v>0</v>
      </c>
      <c r="Q153" s="15">
        <f aca="true" t="shared" si="128" ref="Q153:Q158">+O153+P153</f>
        <v>0</v>
      </c>
      <c r="R153" s="17">
        <v>0</v>
      </c>
      <c r="S153" s="15">
        <f aca="true" t="shared" si="129" ref="S153:S158">+Q153+R153</f>
        <v>0</v>
      </c>
      <c r="T153" s="17">
        <v>0</v>
      </c>
      <c r="U153" s="15">
        <f aca="true" t="shared" si="130" ref="U153:U158">+S153+T153</f>
        <v>0</v>
      </c>
      <c r="V153" s="17">
        <v>0</v>
      </c>
      <c r="W153" s="15">
        <f aca="true" t="shared" si="131" ref="W153:W158">+U153+V153</f>
        <v>0</v>
      </c>
      <c r="X153" s="17">
        <v>8602</v>
      </c>
      <c r="Y153" s="15">
        <f aca="true" t="shared" si="132" ref="Y153:Y158">+W153+X153</f>
        <v>8602</v>
      </c>
      <c r="Z153" s="17">
        <v>0</v>
      </c>
      <c r="AA153" s="15">
        <f aca="true" t="shared" si="133" ref="AA153:AA158">+Y153+Z153</f>
        <v>8602</v>
      </c>
      <c r="AB153" s="17">
        <v>13856</v>
      </c>
      <c r="AC153" s="15">
        <f aca="true" t="shared" si="134" ref="AC153:AC158">+AA153+AB153</f>
        <v>22458</v>
      </c>
    </row>
    <row r="154" spans="2:29" ht="15">
      <c r="B154" s="57">
        <v>3721</v>
      </c>
      <c r="C154" s="14" t="s">
        <v>148</v>
      </c>
      <c r="D154" s="93">
        <f>+PRESUPACUM!D154</f>
        <v>0</v>
      </c>
      <c r="E154" s="93">
        <f>+PRESUPACUM!E154</f>
        <v>26481.019999999997</v>
      </c>
      <c r="F154" s="17">
        <v>0</v>
      </c>
      <c r="G154" s="59">
        <f t="shared" si="123"/>
        <v>0</v>
      </c>
      <c r="H154" s="17">
        <v>0</v>
      </c>
      <c r="I154" s="15">
        <f t="shared" si="124"/>
        <v>0</v>
      </c>
      <c r="J154" s="17">
        <v>0</v>
      </c>
      <c r="K154" s="15">
        <f t="shared" si="125"/>
        <v>0</v>
      </c>
      <c r="L154" s="17">
        <v>581.4</v>
      </c>
      <c r="M154" s="15">
        <f t="shared" si="126"/>
        <v>581.4</v>
      </c>
      <c r="N154" s="17">
        <v>0</v>
      </c>
      <c r="O154" s="15">
        <f t="shared" si="127"/>
        <v>581.4</v>
      </c>
      <c r="P154" s="17">
        <v>2482.31</v>
      </c>
      <c r="Q154" s="15">
        <f t="shared" si="128"/>
        <v>3063.71</v>
      </c>
      <c r="R154" s="17">
        <v>0</v>
      </c>
      <c r="S154" s="15">
        <f t="shared" si="129"/>
        <v>3063.71</v>
      </c>
      <c r="T154" s="17">
        <v>536.01</v>
      </c>
      <c r="U154" s="15">
        <f t="shared" si="130"/>
        <v>3599.7200000000003</v>
      </c>
      <c r="V154" s="17">
        <v>0</v>
      </c>
      <c r="W154" s="15">
        <f t="shared" si="131"/>
        <v>3599.7200000000003</v>
      </c>
      <c r="X154" s="17">
        <v>12889.71</v>
      </c>
      <c r="Y154" s="15">
        <f t="shared" si="132"/>
        <v>16489.43</v>
      </c>
      <c r="Z154" s="17">
        <v>3871.08</v>
      </c>
      <c r="AA154" s="15">
        <f t="shared" si="133"/>
        <v>20360.510000000002</v>
      </c>
      <c r="AB154" s="17">
        <v>6120.51</v>
      </c>
      <c r="AC154" s="15">
        <f t="shared" si="134"/>
        <v>26481.020000000004</v>
      </c>
    </row>
    <row r="155" spans="2:29" ht="15">
      <c r="B155" s="57">
        <v>3722</v>
      </c>
      <c r="C155" s="14" t="s">
        <v>182</v>
      </c>
      <c r="D155" s="93">
        <f>+PRESUPACUM!D155</f>
        <v>0</v>
      </c>
      <c r="E155" s="93">
        <f>+PRESUPACUM!E155</f>
        <v>59397.56</v>
      </c>
      <c r="F155" s="17">
        <v>0</v>
      </c>
      <c r="G155" s="59">
        <f t="shared" si="123"/>
        <v>0</v>
      </c>
      <c r="H155" s="17">
        <v>2379</v>
      </c>
      <c r="I155" s="15">
        <f t="shared" si="124"/>
        <v>2379</v>
      </c>
      <c r="J155" s="17">
        <v>1138</v>
      </c>
      <c r="K155" s="15">
        <f t="shared" si="125"/>
        <v>3517</v>
      </c>
      <c r="L155" s="17">
        <v>4333.5</v>
      </c>
      <c r="M155" s="15">
        <f t="shared" si="126"/>
        <v>7850.5</v>
      </c>
      <c r="N155" s="17">
        <v>5697.5</v>
      </c>
      <c r="O155" s="15">
        <f t="shared" si="127"/>
        <v>13548</v>
      </c>
      <c r="P155" s="17">
        <v>3026.3</v>
      </c>
      <c r="Q155" s="15">
        <f t="shared" si="128"/>
        <v>16574.3</v>
      </c>
      <c r="R155" s="17">
        <v>5286.15</v>
      </c>
      <c r="S155" s="15">
        <f t="shared" si="129"/>
        <v>21860.449999999997</v>
      </c>
      <c r="T155" s="17">
        <v>5118</v>
      </c>
      <c r="U155" s="15">
        <f t="shared" si="130"/>
        <v>26978.449999999997</v>
      </c>
      <c r="V155" s="17">
        <v>2551.8</v>
      </c>
      <c r="W155" s="15">
        <f t="shared" si="131"/>
        <v>29530.249999999996</v>
      </c>
      <c r="X155" s="17">
        <v>4540</v>
      </c>
      <c r="Y155" s="15">
        <f t="shared" si="132"/>
        <v>34070.25</v>
      </c>
      <c r="Z155" s="17">
        <v>6572.25</v>
      </c>
      <c r="AA155" s="15">
        <f t="shared" si="133"/>
        <v>40642.5</v>
      </c>
      <c r="AB155" s="17">
        <v>18755.06</v>
      </c>
      <c r="AC155" s="15">
        <f t="shared" si="134"/>
        <v>59397.56</v>
      </c>
    </row>
    <row r="156" spans="2:29" ht="15">
      <c r="B156" s="57">
        <v>3751</v>
      </c>
      <c r="C156" s="14" t="s">
        <v>149</v>
      </c>
      <c r="D156" s="93">
        <f>+PRESUPACUM!D156</f>
        <v>50000</v>
      </c>
      <c r="E156" s="93">
        <f>+PRESUPACUM!E156</f>
        <v>63004.49000000002</v>
      </c>
      <c r="F156" s="17">
        <v>0</v>
      </c>
      <c r="G156" s="59">
        <f t="shared" si="123"/>
        <v>0</v>
      </c>
      <c r="H156" s="17">
        <v>1832.86</v>
      </c>
      <c r="I156" s="15">
        <f t="shared" si="124"/>
        <v>1832.86</v>
      </c>
      <c r="J156" s="17">
        <v>0</v>
      </c>
      <c r="K156" s="15">
        <f t="shared" si="125"/>
        <v>1832.86</v>
      </c>
      <c r="L156" s="17">
        <v>9336.18</v>
      </c>
      <c r="M156" s="15">
        <f t="shared" si="126"/>
        <v>11169.04</v>
      </c>
      <c r="N156" s="17">
        <v>0</v>
      </c>
      <c r="O156" s="15">
        <f t="shared" si="127"/>
        <v>11169.04</v>
      </c>
      <c r="P156" s="17">
        <v>4968</v>
      </c>
      <c r="Q156" s="15">
        <f t="shared" si="128"/>
        <v>16137.04</v>
      </c>
      <c r="R156" s="17">
        <v>0</v>
      </c>
      <c r="S156" s="15">
        <f t="shared" si="129"/>
        <v>16137.04</v>
      </c>
      <c r="T156" s="17">
        <f>3076.99-100</f>
        <v>2976.99</v>
      </c>
      <c r="U156" s="15">
        <f t="shared" si="130"/>
        <v>19114.03</v>
      </c>
      <c r="V156" s="17">
        <v>0</v>
      </c>
      <c r="W156" s="15">
        <f t="shared" si="131"/>
        <v>19114.03</v>
      </c>
      <c r="X156" s="17">
        <v>29781.26</v>
      </c>
      <c r="Y156" s="15">
        <f t="shared" si="132"/>
        <v>48895.28999999999</v>
      </c>
      <c r="Z156" s="17">
        <v>221.4</v>
      </c>
      <c r="AA156" s="15">
        <f t="shared" si="133"/>
        <v>49116.689999999995</v>
      </c>
      <c r="AB156" s="17">
        <v>13887.8</v>
      </c>
      <c r="AC156" s="15">
        <f t="shared" si="134"/>
        <v>63004.48999999999</v>
      </c>
    </row>
    <row r="157" spans="2:29" ht="15">
      <c r="B157" s="57">
        <v>3761</v>
      </c>
      <c r="C157" s="14" t="s">
        <v>151</v>
      </c>
      <c r="D157" s="93">
        <f>+PRESUPACUM!D157</f>
        <v>0</v>
      </c>
      <c r="E157" s="93">
        <f>+PRESUPACUM!E157</f>
        <v>0</v>
      </c>
      <c r="F157" s="17">
        <v>0</v>
      </c>
      <c r="G157" s="59">
        <f t="shared" si="123"/>
        <v>0</v>
      </c>
      <c r="H157" s="17">
        <v>0</v>
      </c>
      <c r="I157" s="15">
        <f t="shared" si="124"/>
        <v>0</v>
      </c>
      <c r="J157" s="17">
        <v>0</v>
      </c>
      <c r="K157" s="15">
        <f t="shared" si="125"/>
        <v>0</v>
      </c>
      <c r="L157" s="17">
        <v>0</v>
      </c>
      <c r="M157" s="15">
        <f t="shared" si="126"/>
        <v>0</v>
      </c>
      <c r="N157" s="17">
        <v>0</v>
      </c>
      <c r="O157" s="15">
        <f t="shared" si="127"/>
        <v>0</v>
      </c>
      <c r="P157" s="17">
        <v>0</v>
      </c>
      <c r="Q157" s="15">
        <f t="shared" si="128"/>
        <v>0</v>
      </c>
      <c r="R157" s="17">
        <v>0</v>
      </c>
      <c r="S157" s="15">
        <f t="shared" si="129"/>
        <v>0</v>
      </c>
      <c r="T157" s="17">
        <v>0</v>
      </c>
      <c r="U157" s="15">
        <f t="shared" si="130"/>
        <v>0</v>
      </c>
      <c r="V157" s="17">
        <v>0</v>
      </c>
      <c r="W157" s="15">
        <f t="shared" si="131"/>
        <v>0</v>
      </c>
      <c r="X157" s="17">
        <v>0</v>
      </c>
      <c r="Y157" s="15">
        <f t="shared" si="132"/>
        <v>0</v>
      </c>
      <c r="Z157" s="17">
        <v>0</v>
      </c>
      <c r="AA157" s="15">
        <f t="shared" si="133"/>
        <v>0</v>
      </c>
      <c r="AB157" s="17">
        <v>0</v>
      </c>
      <c r="AC157" s="15">
        <f t="shared" si="134"/>
        <v>0</v>
      </c>
    </row>
    <row r="158" spans="2:29" ht="15">
      <c r="B158" s="57">
        <v>3791</v>
      </c>
      <c r="C158" s="14" t="s">
        <v>150</v>
      </c>
      <c r="D158" s="93">
        <f>+PRESUPACUM!D158</f>
        <v>0</v>
      </c>
      <c r="E158" s="93">
        <f>+PRESUPACUM!E158</f>
        <v>0</v>
      </c>
      <c r="F158" s="17">
        <v>0</v>
      </c>
      <c r="G158" s="59">
        <f t="shared" si="123"/>
        <v>0</v>
      </c>
      <c r="H158" s="17">
        <v>0</v>
      </c>
      <c r="I158" s="15">
        <f t="shared" si="124"/>
        <v>0</v>
      </c>
      <c r="J158" s="17">
        <v>0</v>
      </c>
      <c r="K158" s="15">
        <f t="shared" si="125"/>
        <v>0</v>
      </c>
      <c r="L158" s="17">
        <v>0</v>
      </c>
      <c r="M158" s="15">
        <f t="shared" si="126"/>
        <v>0</v>
      </c>
      <c r="N158" s="17">
        <v>0</v>
      </c>
      <c r="O158" s="15">
        <f t="shared" si="127"/>
        <v>0</v>
      </c>
      <c r="P158" s="17">
        <v>0</v>
      </c>
      <c r="Q158" s="15">
        <f t="shared" si="128"/>
        <v>0</v>
      </c>
      <c r="R158" s="17">
        <v>0</v>
      </c>
      <c r="S158" s="15">
        <f t="shared" si="129"/>
        <v>0</v>
      </c>
      <c r="T158" s="17">
        <v>0</v>
      </c>
      <c r="U158" s="15">
        <f t="shared" si="130"/>
        <v>0</v>
      </c>
      <c r="V158" s="17">
        <v>0</v>
      </c>
      <c r="W158" s="15">
        <f t="shared" si="131"/>
        <v>0</v>
      </c>
      <c r="X158" s="17">
        <v>0</v>
      </c>
      <c r="Y158" s="15">
        <f t="shared" si="132"/>
        <v>0</v>
      </c>
      <c r="Z158" s="17">
        <v>0</v>
      </c>
      <c r="AA158" s="15">
        <f t="shared" si="133"/>
        <v>0</v>
      </c>
      <c r="AB158" s="17">
        <v>0</v>
      </c>
      <c r="AC158" s="15">
        <f t="shared" si="134"/>
        <v>0</v>
      </c>
    </row>
    <row r="159" spans="2:29" ht="15">
      <c r="B159" s="57"/>
      <c r="C159" s="14"/>
      <c r="D159" s="93"/>
      <c r="E159" s="93"/>
      <c r="F159" s="17"/>
      <c r="G159" s="59"/>
      <c r="H159" s="17"/>
      <c r="I159" s="15"/>
      <c r="J159" s="17"/>
      <c r="K159" s="15"/>
      <c r="L159" s="17"/>
      <c r="M159" s="15"/>
      <c r="N159" s="17"/>
      <c r="O159" s="15"/>
      <c r="P159" s="17"/>
      <c r="Q159" s="15"/>
      <c r="R159" s="17"/>
      <c r="S159" s="15"/>
      <c r="T159" s="17"/>
      <c r="U159" s="15"/>
      <c r="V159" s="17"/>
      <c r="W159" s="15"/>
      <c r="X159" s="17"/>
      <c r="Y159" s="15"/>
      <c r="Z159" s="17"/>
      <c r="AA159" s="15"/>
      <c r="AB159" s="17"/>
      <c r="AC159" s="15"/>
    </row>
    <row r="160" spans="2:29" ht="15.75">
      <c r="B160" s="69">
        <v>3800</v>
      </c>
      <c r="C160" s="67" t="s">
        <v>47</v>
      </c>
      <c r="D160" s="92">
        <f aca="true" t="shared" si="135" ref="D160:AC160">SUM(D161:D164)</f>
        <v>1099200</v>
      </c>
      <c r="E160" s="92">
        <f t="shared" si="135"/>
        <v>2133588.3299999996</v>
      </c>
      <c r="F160" s="92">
        <f t="shared" si="135"/>
        <v>0</v>
      </c>
      <c r="G160" s="92">
        <f t="shared" si="135"/>
        <v>0</v>
      </c>
      <c r="H160" s="92">
        <f>SUM(H161:H164)</f>
        <v>70683.51</v>
      </c>
      <c r="I160" s="92">
        <f t="shared" si="135"/>
        <v>70683.51</v>
      </c>
      <c r="J160" s="92">
        <f>SUM(J161:J164)</f>
        <v>77394.51</v>
      </c>
      <c r="K160" s="92">
        <f t="shared" si="135"/>
        <v>148078.02</v>
      </c>
      <c r="L160" s="92">
        <f t="shared" si="135"/>
        <v>161443.34</v>
      </c>
      <c r="M160" s="92">
        <f t="shared" si="135"/>
        <v>309521.36</v>
      </c>
      <c r="N160" s="92">
        <f>SUM(N161:N164)</f>
        <v>92496.59</v>
      </c>
      <c r="O160" s="92">
        <f t="shared" si="135"/>
        <v>402017.94999999995</v>
      </c>
      <c r="P160" s="92">
        <f>SUM(P161:P164)</f>
        <v>108271.7</v>
      </c>
      <c r="Q160" s="92">
        <f t="shared" si="135"/>
        <v>510289.64999999997</v>
      </c>
      <c r="R160" s="92">
        <f>SUM(R161:R164)</f>
        <v>114024.46</v>
      </c>
      <c r="S160" s="92">
        <f t="shared" si="135"/>
        <v>624314.11</v>
      </c>
      <c r="T160" s="92">
        <f t="shared" si="135"/>
        <v>130803.08</v>
      </c>
      <c r="U160" s="92">
        <f t="shared" si="135"/>
        <v>755117.19</v>
      </c>
      <c r="V160" s="92">
        <f>SUM(V161:V164)</f>
        <v>345490.56</v>
      </c>
      <c r="W160" s="92">
        <f t="shared" si="135"/>
        <v>1100607.75</v>
      </c>
      <c r="X160" s="92">
        <f>SUM(X161:X164)</f>
        <v>130302.98000000001</v>
      </c>
      <c r="Y160" s="92">
        <f t="shared" si="135"/>
        <v>1230910.73</v>
      </c>
      <c r="Z160" s="92">
        <f t="shared" si="135"/>
        <v>122073.86</v>
      </c>
      <c r="AA160" s="92">
        <f t="shared" si="135"/>
        <v>1352984.59</v>
      </c>
      <c r="AB160" s="92">
        <f>SUM(AB161:AB164)</f>
        <v>780603.74</v>
      </c>
      <c r="AC160" s="92">
        <f t="shared" si="135"/>
        <v>2133588.33</v>
      </c>
    </row>
    <row r="161" spans="2:29" ht="15">
      <c r="B161" s="57">
        <v>3821</v>
      </c>
      <c r="C161" s="14" t="s">
        <v>242</v>
      </c>
      <c r="D161" s="58">
        <f>+PRESUPACUM!D161</f>
        <v>0</v>
      </c>
      <c r="E161" s="58">
        <f>+PRESUPACUM!E161</f>
        <v>59160</v>
      </c>
      <c r="F161" s="18">
        <v>0</v>
      </c>
      <c r="G161" s="59">
        <f>+F161</f>
        <v>0</v>
      </c>
      <c r="H161" s="18">
        <v>0</v>
      </c>
      <c r="I161" s="15">
        <f>+G161+H161</f>
        <v>0</v>
      </c>
      <c r="J161" s="18">
        <v>0</v>
      </c>
      <c r="K161" s="15">
        <f>+I161+J161</f>
        <v>0</v>
      </c>
      <c r="L161" s="18">
        <v>0</v>
      </c>
      <c r="M161" s="15">
        <f>+K161+L161</f>
        <v>0</v>
      </c>
      <c r="N161" s="18">
        <v>0</v>
      </c>
      <c r="O161" s="15">
        <f>+M161+N161</f>
        <v>0</v>
      </c>
      <c r="P161" s="18">
        <v>0</v>
      </c>
      <c r="Q161" s="15">
        <f>+O161+P161</f>
        <v>0</v>
      </c>
      <c r="R161" s="18">
        <v>0</v>
      </c>
      <c r="S161" s="15">
        <f>+Q161+R161</f>
        <v>0</v>
      </c>
      <c r="T161" s="18">
        <v>0</v>
      </c>
      <c r="U161" s="15">
        <f>+S161+T161</f>
        <v>0</v>
      </c>
      <c r="V161" s="18">
        <v>0</v>
      </c>
      <c r="W161" s="15">
        <f>+U161+V161</f>
        <v>0</v>
      </c>
      <c r="X161" s="18">
        <v>11600</v>
      </c>
      <c r="Y161" s="15">
        <f>+W161+X161</f>
        <v>11600</v>
      </c>
      <c r="Z161" s="18">
        <v>0</v>
      </c>
      <c r="AA161" s="15">
        <f>+Y161+Z161</f>
        <v>11600</v>
      </c>
      <c r="AB161" s="18">
        <v>47560</v>
      </c>
      <c r="AC161" s="15">
        <f>+AA161+AB161</f>
        <v>59160</v>
      </c>
    </row>
    <row r="162" spans="2:29" ht="15">
      <c r="B162" s="57">
        <v>3822</v>
      </c>
      <c r="C162" s="14" t="s">
        <v>152</v>
      </c>
      <c r="D162" s="94">
        <f>+PRESUPACUM!D162</f>
        <v>0</v>
      </c>
      <c r="E162" s="94">
        <f>+PRESUPACUM!E162</f>
        <v>11964.99</v>
      </c>
      <c r="F162" s="72">
        <v>0</v>
      </c>
      <c r="G162" s="59">
        <f>+F162</f>
        <v>0</v>
      </c>
      <c r="H162" s="72">
        <v>0</v>
      </c>
      <c r="I162" s="15">
        <f>+G162+H162</f>
        <v>0</v>
      </c>
      <c r="J162" s="72">
        <v>0</v>
      </c>
      <c r="K162" s="15">
        <f>+I162+J162</f>
        <v>0</v>
      </c>
      <c r="L162" s="72">
        <v>1000</v>
      </c>
      <c r="M162" s="15">
        <f>+K162+L162</f>
        <v>1000</v>
      </c>
      <c r="N162" s="72">
        <v>0</v>
      </c>
      <c r="O162" s="15">
        <f>+M162+N162</f>
        <v>1000</v>
      </c>
      <c r="P162" s="72">
        <v>0</v>
      </c>
      <c r="Q162" s="15">
        <f>+O162+P162</f>
        <v>1000</v>
      </c>
      <c r="R162" s="72">
        <v>0</v>
      </c>
      <c r="S162" s="15">
        <f>+Q162+R162</f>
        <v>1000</v>
      </c>
      <c r="T162" s="72">
        <v>0</v>
      </c>
      <c r="U162" s="15">
        <f>+S162+T162</f>
        <v>1000</v>
      </c>
      <c r="V162" s="72">
        <v>0</v>
      </c>
      <c r="W162" s="15">
        <f>+U162+V162</f>
        <v>1000</v>
      </c>
      <c r="X162" s="72">
        <v>1094.99</v>
      </c>
      <c r="Y162" s="15">
        <f>+W162+X162</f>
        <v>2094.99</v>
      </c>
      <c r="Z162" s="72">
        <v>0</v>
      </c>
      <c r="AA162" s="15">
        <f>+Y162+Z162</f>
        <v>2094.99</v>
      </c>
      <c r="AB162" s="72">
        <v>9870</v>
      </c>
      <c r="AC162" s="15">
        <f>+AA162+AB162</f>
        <v>11964.99</v>
      </c>
    </row>
    <row r="163" spans="2:29" ht="15">
      <c r="B163" s="57">
        <v>3831</v>
      </c>
      <c r="C163" s="14" t="s">
        <v>153</v>
      </c>
      <c r="D163" s="94">
        <f>+PRESUPACUM!D163</f>
        <v>1099200</v>
      </c>
      <c r="E163" s="94">
        <f>+PRESUPACUM!E163</f>
        <v>2062463.3399999994</v>
      </c>
      <c r="F163" s="72">
        <v>0</v>
      </c>
      <c r="G163" s="59">
        <f>+F163</f>
        <v>0</v>
      </c>
      <c r="H163" s="72">
        <v>70683.51</v>
      </c>
      <c r="I163" s="15">
        <f>+G163+H163</f>
        <v>70683.51</v>
      </c>
      <c r="J163" s="72">
        <v>77394.51</v>
      </c>
      <c r="K163" s="15">
        <f>+I163+J163</f>
        <v>148078.02</v>
      </c>
      <c r="L163" s="72">
        <v>160443.34</v>
      </c>
      <c r="M163" s="15">
        <f>+K163+L163</f>
        <v>308521.36</v>
      </c>
      <c r="N163" s="72">
        <v>92496.59</v>
      </c>
      <c r="O163" s="15">
        <f>+M163+N163</f>
        <v>401017.94999999995</v>
      </c>
      <c r="P163" s="72">
        <v>108271.7</v>
      </c>
      <c r="Q163" s="15">
        <f>+O163+P163</f>
        <v>509289.64999999997</v>
      </c>
      <c r="R163" s="72">
        <v>114024.46</v>
      </c>
      <c r="S163" s="15">
        <f>+Q163+R163</f>
        <v>623314.11</v>
      </c>
      <c r="T163" s="72">
        <v>130803.08</v>
      </c>
      <c r="U163" s="15">
        <f>+S163+T163</f>
        <v>754117.19</v>
      </c>
      <c r="V163" s="72">
        <v>345490.56</v>
      </c>
      <c r="W163" s="15">
        <f>+U163+V163</f>
        <v>1099607.75</v>
      </c>
      <c r="X163" s="72">
        <v>117607.99</v>
      </c>
      <c r="Y163" s="15">
        <f>+W163+X163</f>
        <v>1217215.74</v>
      </c>
      <c r="Z163" s="72">
        <v>122073.86</v>
      </c>
      <c r="AA163" s="15">
        <f>+Y163+Z163</f>
        <v>1339289.6</v>
      </c>
      <c r="AB163" s="72">
        <v>723173.74</v>
      </c>
      <c r="AC163" s="15">
        <f>+AA163+AB163</f>
        <v>2062463.34</v>
      </c>
    </row>
    <row r="164" spans="2:29" ht="15">
      <c r="B164" s="57">
        <v>3841</v>
      </c>
      <c r="C164" s="14" t="s">
        <v>189</v>
      </c>
      <c r="D164" s="94">
        <f>+PRESUPACUM!D164</f>
        <v>0</v>
      </c>
      <c r="E164" s="94">
        <f>+PRESUPACUM!E164</f>
        <v>0</v>
      </c>
      <c r="F164" s="72">
        <v>0</v>
      </c>
      <c r="G164" s="59">
        <f>+F164</f>
        <v>0</v>
      </c>
      <c r="H164" s="72">
        <v>0</v>
      </c>
      <c r="I164" s="15">
        <f>+G164+H164</f>
        <v>0</v>
      </c>
      <c r="J164" s="72">
        <v>0</v>
      </c>
      <c r="K164" s="15">
        <f>+I164+J164</f>
        <v>0</v>
      </c>
      <c r="L164" s="72">
        <v>0</v>
      </c>
      <c r="M164" s="15">
        <f>+K164+L164</f>
        <v>0</v>
      </c>
      <c r="N164" s="72">
        <v>0</v>
      </c>
      <c r="O164" s="15">
        <f>+M164+N164</f>
        <v>0</v>
      </c>
      <c r="P164" s="72">
        <v>0</v>
      </c>
      <c r="Q164" s="15">
        <f>+O164+P164</f>
        <v>0</v>
      </c>
      <c r="R164" s="72">
        <v>0</v>
      </c>
      <c r="S164" s="15">
        <f>+Q164+R164</f>
        <v>0</v>
      </c>
      <c r="T164" s="72">
        <v>0</v>
      </c>
      <c r="U164" s="15">
        <f>+S164+T164</f>
        <v>0</v>
      </c>
      <c r="V164" s="72">
        <v>0</v>
      </c>
      <c r="W164" s="15">
        <f>+U164+V164</f>
        <v>0</v>
      </c>
      <c r="X164" s="72">
        <v>0</v>
      </c>
      <c r="Y164" s="15">
        <f>+W164+X164</f>
        <v>0</v>
      </c>
      <c r="Z164" s="72">
        <v>0</v>
      </c>
      <c r="AA164" s="15">
        <f>+Y164+Z164</f>
        <v>0</v>
      </c>
      <c r="AB164" s="72">
        <v>0</v>
      </c>
      <c r="AC164" s="15">
        <f>+AA164+AB164</f>
        <v>0</v>
      </c>
    </row>
    <row r="165" spans="2:29" ht="15">
      <c r="B165" s="57"/>
      <c r="C165" s="14"/>
      <c r="D165" s="94"/>
      <c r="E165" s="94"/>
      <c r="F165" s="72"/>
      <c r="G165" s="59"/>
      <c r="H165" s="72"/>
      <c r="I165" s="15"/>
      <c r="J165" s="72"/>
      <c r="K165" s="15"/>
      <c r="L165" s="72"/>
      <c r="M165" s="15"/>
      <c r="N165" s="72"/>
      <c r="O165" s="15"/>
      <c r="P165" s="72"/>
      <c r="Q165" s="15"/>
      <c r="R165" s="72"/>
      <c r="S165" s="15"/>
      <c r="T165" s="72"/>
      <c r="U165" s="15"/>
      <c r="V165" s="72"/>
      <c r="W165" s="15"/>
      <c r="X165" s="72"/>
      <c r="Y165" s="15"/>
      <c r="Z165" s="72"/>
      <c r="AA165" s="15"/>
      <c r="AB165" s="72"/>
      <c r="AC165" s="15"/>
    </row>
    <row r="166" spans="2:29" ht="15.75">
      <c r="B166" s="69">
        <v>3900</v>
      </c>
      <c r="C166" s="67" t="s">
        <v>154</v>
      </c>
      <c r="D166" s="92">
        <f>SUM(D167:D171)</f>
        <v>6472576.53</v>
      </c>
      <c r="E166" s="92">
        <f aca="true" t="shared" si="136" ref="E166:AC166">SUM(E167:E171)</f>
        <v>7521805.5600000005</v>
      </c>
      <c r="F166" s="92">
        <f t="shared" si="136"/>
        <v>337706.08</v>
      </c>
      <c r="G166" s="92">
        <f t="shared" si="136"/>
        <v>337706.08</v>
      </c>
      <c r="H166" s="92">
        <f>SUM(H167:H171)</f>
        <v>339647.84</v>
      </c>
      <c r="I166" s="92">
        <f t="shared" si="136"/>
        <v>677353.92</v>
      </c>
      <c r="J166" s="92">
        <f>SUM(J167:J171)</f>
        <v>395089.79</v>
      </c>
      <c r="K166" s="92">
        <f t="shared" si="136"/>
        <v>1072443.71</v>
      </c>
      <c r="L166" s="92">
        <f t="shared" si="136"/>
        <v>390842.86</v>
      </c>
      <c r="M166" s="92">
        <f t="shared" si="136"/>
        <v>1463286.5699999998</v>
      </c>
      <c r="N166" s="92">
        <f>SUM(N167:N171)</f>
        <v>1161528.01</v>
      </c>
      <c r="O166" s="92">
        <f t="shared" si="136"/>
        <v>2624814.58</v>
      </c>
      <c r="P166" s="92">
        <f>SUM(P167:P171)</f>
        <v>617972.63</v>
      </c>
      <c r="Q166" s="92">
        <f t="shared" si="136"/>
        <v>3242787.21</v>
      </c>
      <c r="R166" s="92">
        <f>SUM(R167:R171)</f>
        <v>406304.14</v>
      </c>
      <c r="S166" s="92">
        <f t="shared" si="136"/>
        <v>3649091.35</v>
      </c>
      <c r="T166" s="92">
        <f t="shared" si="136"/>
        <v>375639.48</v>
      </c>
      <c r="U166" s="92">
        <f t="shared" si="136"/>
        <v>4024730.83</v>
      </c>
      <c r="V166" s="92">
        <f>SUM(V167:V171)</f>
        <v>609191.43</v>
      </c>
      <c r="W166" s="92">
        <f t="shared" si="136"/>
        <v>4633922.26</v>
      </c>
      <c r="X166" s="92">
        <f>SUM(X167:X171)</f>
        <v>605615.62</v>
      </c>
      <c r="Y166" s="92">
        <f t="shared" si="136"/>
        <v>5239537.88</v>
      </c>
      <c r="Z166" s="92">
        <f t="shared" si="136"/>
        <v>717766.59</v>
      </c>
      <c r="AA166" s="92">
        <f t="shared" si="136"/>
        <v>5957304.47</v>
      </c>
      <c r="AB166" s="92">
        <f>SUM(AB167:AB171)</f>
        <v>1564501.09</v>
      </c>
      <c r="AC166" s="92">
        <f t="shared" si="136"/>
        <v>7521805.56</v>
      </c>
    </row>
    <row r="167" spans="2:29" ht="15">
      <c r="B167" s="57">
        <v>3911</v>
      </c>
      <c r="C167" s="26" t="s">
        <v>221</v>
      </c>
      <c r="D167" s="94">
        <f>+PRESUPACUM!D167</f>
        <v>0</v>
      </c>
      <c r="E167" s="94">
        <f>+PRESUPACUM!E167</f>
        <v>0</v>
      </c>
      <c r="F167" s="72">
        <v>0</v>
      </c>
      <c r="G167" s="59">
        <f>+F167</f>
        <v>0</v>
      </c>
      <c r="H167" s="72">
        <v>0</v>
      </c>
      <c r="I167" s="15">
        <f>+G167+H167</f>
        <v>0</v>
      </c>
      <c r="J167" s="72">
        <v>0</v>
      </c>
      <c r="K167" s="15">
        <f>+I167+J167</f>
        <v>0</v>
      </c>
      <c r="L167" s="72">
        <v>0</v>
      </c>
      <c r="M167" s="15">
        <f>+K167+L167</f>
        <v>0</v>
      </c>
      <c r="N167" s="72">
        <v>0</v>
      </c>
      <c r="O167" s="15">
        <f>+M167+N167</f>
        <v>0</v>
      </c>
      <c r="P167" s="72">
        <v>0</v>
      </c>
      <c r="Q167" s="15">
        <f>+O167+P167</f>
        <v>0</v>
      </c>
      <c r="R167" s="72">
        <v>0</v>
      </c>
      <c r="S167" s="15">
        <f>+Q167+R167</f>
        <v>0</v>
      </c>
      <c r="T167" s="72">
        <v>0</v>
      </c>
      <c r="U167" s="15">
        <f>+S167+T167</f>
        <v>0</v>
      </c>
      <c r="V167" s="72">
        <v>0</v>
      </c>
      <c r="W167" s="15">
        <f>+U167+V167</f>
        <v>0</v>
      </c>
      <c r="X167" s="72">
        <v>0</v>
      </c>
      <c r="Y167" s="15">
        <f>+W167+X167</f>
        <v>0</v>
      </c>
      <c r="Z167" s="72">
        <v>0</v>
      </c>
      <c r="AA167" s="15">
        <f>+Y167+Z167</f>
        <v>0</v>
      </c>
      <c r="AB167" s="72">
        <v>0</v>
      </c>
      <c r="AC167" s="15">
        <f>+AA167+AB167</f>
        <v>0</v>
      </c>
    </row>
    <row r="168" spans="2:29" ht="15">
      <c r="B168" s="57">
        <v>3921</v>
      </c>
      <c r="C168" s="14" t="s">
        <v>155</v>
      </c>
      <c r="D168" s="58">
        <f>+PRESUPACUM!D168</f>
        <v>101890</v>
      </c>
      <c r="E168" s="58">
        <f>+PRESUPACUM!E168</f>
        <v>72960</v>
      </c>
      <c r="F168" s="18">
        <v>0</v>
      </c>
      <c r="G168" s="59">
        <f>+F168</f>
        <v>0</v>
      </c>
      <c r="H168" s="18">
        <v>0</v>
      </c>
      <c r="I168" s="15">
        <f>+G168+H168</f>
        <v>0</v>
      </c>
      <c r="J168" s="18">
        <v>0</v>
      </c>
      <c r="K168" s="15">
        <f>+I168+J168</f>
        <v>0</v>
      </c>
      <c r="L168" s="18">
        <v>65433</v>
      </c>
      <c r="M168" s="15">
        <f>+K168+L168</f>
        <v>65433</v>
      </c>
      <c r="N168" s="18">
        <v>0</v>
      </c>
      <c r="O168" s="15">
        <f>+M168+N168</f>
        <v>65433</v>
      </c>
      <c r="P168" s="18">
        <v>1416</v>
      </c>
      <c r="Q168" s="15">
        <f>+O168+P168</f>
        <v>66849</v>
      </c>
      <c r="R168" s="18">
        <v>944</v>
      </c>
      <c r="S168" s="15">
        <f>+Q168+R168</f>
        <v>67793</v>
      </c>
      <c r="T168" s="18">
        <v>1196</v>
      </c>
      <c r="U168" s="15">
        <f>+S168+T168</f>
        <v>68989</v>
      </c>
      <c r="V168" s="18">
        <v>472</v>
      </c>
      <c r="W168" s="15">
        <f>+U168+V168</f>
        <v>69461</v>
      </c>
      <c r="X168" s="18">
        <v>1808</v>
      </c>
      <c r="Y168" s="15">
        <f>+W168+X168</f>
        <v>71269</v>
      </c>
      <c r="Z168" s="18">
        <v>0</v>
      </c>
      <c r="AA168" s="15">
        <f>+Y168+Z168</f>
        <v>71269</v>
      </c>
      <c r="AB168" s="18">
        <v>1691</v>
      </c>
      <c r="AC168" s="15">
        <f>+AA168+AB168</f>
        <v>72960</v>
      </c>
    </row>
    <row r="169" spans="2:29" ht="15">
      <c r="B169" s="57">
        <v>3941</v>
      </c>
      <c r="C169" s="14" t="s">
        <v>229</v>
      </c>
      <c r="D169" s="58">
        <f>+PRESUPACUM!D169</f>
        <v>1000000</v>
      </c>
      <c r="E169" s="58">
        <f>+PRESUPACUM!E169</f>
        <v>0</v>
      </c>
      <c r="F169" s="18">
        <v>0</v>
      </c>
      <c r="G169" s="59">
        <f>+F169</f>
        <v>0</v>
      </c>
      <c r="H169" s="18">
        <v>0</v>
      </c>
      <c r="I169" s="15">
        <f>+G169+H169</f>
        <v>0</v>
      </c>
      <c r="J169" s="18">
        <v>0</v>
      </c>
      <c r="K169" s="15">
        <f>+I169+J169</f>
        <v>0</v>
      </c>
      <c r="L169" s="18">
        <v>0</v>
      </c>
      <c r="M169" s="15">
        <f>+K169+L169</f>
        <v>0</v>
      </c>
      <c r="N169" s="18">
        <v>0</v>
      </c>
      <c r="O169" s="15">
        <f>+M169+N169</f>
        <v>0</v>
      </c>
      <c r="P169" s="18">
        <v>0</v>
      </c>
      <c r="Q169" s="15">
        <f>+O169+P169</f>
        <v>0</v>
      </c>
      <c r="R169" s="18">
        <v>0</v>
      </c>
      <c r="S169" s="15">
        <f>+Q169+R169</f>
        <v>0</v>
      </c>
      <c r="T169" s="18">
        <v>0</v>
      </c>
      <c r="U169" s="15">
        <f>+S169+T169</f>
        <v>0</v>
      </c>
      <c r="V169" s="18">
        <v>0</v>
      </c>
      <c r="W169" s="15">
        <f>+U169+V169</f>
        <v>0</v>
      </c>
      <c r="X169" s="18">
        <v>0</v>
      </c>
      <c r="Y169" s="15">
        <f>+W169+X169</f>
        <v>0</v>
      </c>
      <c r="Z169" s="18">
        <v>0</v>
      </c>
      <c r="AA169" s="15">
        <f>+Y169+Z169</f>
        <v>0</v>
      </c>
      <c r="AB169" s="18">
        <v>0</v>
      </c>
      <c r="AC169" s="15">
        <f>+AA169+AB169</f>
        <v>0</v>
      </c>
    </row>
    <row r="170" spans="2:29" ht="15">
      <c r="B170" s="57">
        <v>3981</v>
      </c>
      <c r="C170" s="14" t="s">
        <v>2</v>
      </c>
      <c r="D170" s="58">
        <f>+PRESUPACUM!D170</f>
        <v>5370686.53</v>
      </c>
      <c r="E170" s="58">
        <f>+PRESUPACUM!E170</f>
        <v>7448845.5600000005</v>
      </c>
      <c r="F170" s="18">
        <v>337706.08</v>
      </c>
      <c r="G170" s="59">
        <f>+F170</f>
        <v>337706.08</v>
      </c>
      <c r="H170" s="18">
        <v>339647.84</v>
      </c>
      <c r="I170" s="15">
        <f>+G170+H170</f>
        <v>677353.92</v>
      </c>
      <c r="J170" s="18">
        <v>395089.79</v>
      </c>
      <c r="K170" s="15">
        <f>+I170+J170</f>
        <v>1072443.71</v>
      </c>
      <c r="L170" s="18">
        <f>390478.86-65433+364</f>
        <v>325409.86</v>
      </c>
      <c r="M170" s="15">
        <f>+K170+L170</f>
        <v>1397853.5699999998</v>
      </c>
      <c r="N170" s="18">
        <v>1161528.01</v>
      </c>
      <c r="O170" s="15">
        <f>+M170+N170</f>
        <v>2559381.58</v>
      </c>
      <c r="P170" s="18">
        <v>616556.63</v>
      </c>
      <c r="Q170" s="15">
        <f>+O170+P170</f>
        <v>3175938.21</v>
      </c>
      <c r="R170" s="18">
        <v>405360.14</v>
      </c>
      <c r="S170" s="15">
        <f>+Q170+R170</f>
        <v>3581298.35</v>
      </c>
      <c r="T170" s="18">
        <v>374443.48</v>
      </c>
      <c r="U170" s="15">
        <f>+S170+T170</f>
        <v>3955741.83</v>
      </c>
      <c r="V170" s="18">
        <v>608719.43</v>
      </c>
      <c r="W170" s="15">
        <f>+U170+V170</f>
        <v>4564461.26</v>
      </c>
      <c r="X170" s="18">
        <v>603807.62</v>
      </c>
      <c r="Y170" s="15">
        <f>+W170+X170</f>
        <v>5168268.88</v>
      </c>
      <c r="Z170" s="18">
        <v>717766.59</v>
      </c>
      <c r="AA170" s="15">
        <f>+Y170+Z170</f>
        <v>5886035.47</v>
      </c>
      <c r="AB170" s="18">
        <v>1562810.09</v>
      </c>
      <c r="AC170" s="15">
        <f>+AA170+AB170</f>
        <v>7448845.56</v>
      </c>
    </row>
    <row r="171" spans="2:29" ht="15">
      <c r="B171" s="57">
        <v>3999</v>
      </c>
      <c r="C171" s="14" t="s">
        <v>154</v>
      </c>
      <c r="D171" s="94">
        <f>+PRESUPACUM!D171</f>
        <v>0</v>
      </c>
      <c r="E171" s="94">
        <f>+PRESUPACUM!E171</f>
        <v>0</v>
      </c>
      <c r="F171" s="72">
        <v>0</v>
      </c>
      <c r="G171" s="59">
        <f>+F171</f>
        <v>0</v>
      </c>
      <c r="H171" s="72">
        <v>0</v>
      </c>
      <c r="I171" s="15">
        <f>+G171+H171</f>
        <v>0</v>
      </c>
      <c r="J171" s="72">
        <v>0</v>
      </c>
      <c r="K171" s="15">
        <f>+I171+J171</f>
        <v>0</v>
      </c>
      <c r="L171" s="72">
        <v>0</v>
      </c>
      <c r="M171" s="15">
        <f>+K171+L171</f>
        <v>0</v>
      </c>
      <c r="N171" s="72">
        <v>0</v>
      </c>
      <c r="O171" s="15">
        <f>+M171+N171</f>
        <v>0</v>
      </c>
      <c r="P171" s="72">
        <v>0</v>
      </c>
      <c r="Q171" s="15">
        <f>+O171+P171</f>
        <v>0</v>
      </c>
      <c r="R171" s="72">
        <v>0</v>
      </c>
      <c r="S171" s="15">
        <f>+Q171+R171</f>
        <v>0</v>
      </c>
      <c r="T171" s="72">
        <v>0</v>
      </c>
      <c r="U171" s="15">
        <f>+S171+T171</f>
        <v>0</v>
      </c>
      <c r="V171" s="72">
        <v>0</v>
      </c>
      <c r="W171" s="15">
        <f>+U171+V171</f>
        <v>0</v>
      </c>
      <c r="X171" s="72">
        <v>0</v>
      </c>
      <c r="Y171" s="15">
        <f>+W171+X171</f>
        <v>0</v>
      </c>
      <c r="Z171" s="72">
        <v>0</v>
      </c>
      <c r="AA171" s="15">
        <f>+Y171+Z171</f>
        <v>0</v>
      </c>
      <c r="AB171" s="72">
        <v>0</v>
      </c>
      <c r="AC171" s="15">
        <f>+AA171+AB171</f>
        <v>0</v>
      </c>
    </row>
    <row r="172" spans="2:29" ht="15">
      <c r="B172" s="57"/>
      <c r="C172" s="14"/>
      <c r="D172" s="58"/>
      <c r="E172" s="58"/>
      <c r="F172" s="15"/>
      <c r="G172" s="20"/>
      <c r="H172" s="15"/>
      <c r="I172" s="20"/>
      <c r="J172" s="15"/>
      <c r="K172" s="20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2:29" ht="15.75">
      <c r="B173" s="130"/>
      <c r="C173" s="133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</row>
    <row r="174" spans="2:29" ht="15">
      <c r="B174" s="131"/>
      <c r="C174" s="132"/>
      <c r="D174" s="135"/>
      <c r="E174" s="135"/>
      <c r="F174" s="136"/>
      <c r="G174" s="137"/>
      <c r="H174" s="136"/>
      <c r="I174" s="138"/>
      <c r="J174" s="136"/>
      <c r="K174" s="138"/>
      <c r="L174" s="136"/>
      <c r="M174" s="138"/>
      <c r="N174" s="136"/>
      <c r="O174" s="138"/>
      <c r="P174" s="136"/>
      <c r="Q174" s="138"/>
      <c r="R174" s="136"/>
      <c r="S174" s="138"/>
      <c r="T174" s="136"/>
      <c r="U174" s="138"/>
      <c r="V174" s="136"/>
      <c r="W174" s="138"/>
      <c r="X174" s="136"/>
      <c r="Y174" s="138"/>
      <c r="Z174" s="136"/>
      <c r="AA174" s="138"/>
      <c r="AB174" s="136"/>
      <c r="AC174" s="138"/>
    </row>
    <row r="175" spans="2:29" ht="15">
      <c r="B175" s="57"/>
      <c r="C175" s="14"/>
      <c r="D175" s="58"/>
      <c r="E175" s="58"/>
      <c r="F175" s="15"/>
      <c r="G175" s="20"/>
      <c r="H175" s="15"/>
      <c r="I175" s="20"/>
      <c r="J175" s="15"/>
      <c r="K175" s="20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2:29" ht="16.5" thickBot="1">
      <c r="B176" s="84">
        <v>5000</v>
      </c>
      <c r="C176" s="126" t="s">
        <v>156</v>
      </c>
      <c r="D176" s="97">
        <f aca="true" t="shared" si="137" ref="D176:AC176">+D178+D192+D196</f>
        <v>3436474.5199999996</v>
      </c>
      <c r="E176" s="97">
        <f t="shared" si="137"/>
        <v>2165018.8</v>
      </c>
      <c r="F176" s="97">
        <f t="shared" si="137"/>
        <v>0</v>
      </c>
      <c r="G176" s="97">
        <f t="shared" si="137"/>
        <v>0</v>
      </c>
      <c r="H176" s="97">
        <f>+H178+H192+H196</f>
        <v>0</v>
      </c>
      <c r="I176" s="97">
        <f t="shared" si="137"/>
        <v>0</v>
      </c>
      <c r="J176" s="97">
        <f>+J178+J192+J196</f>
        <v>0</v>
      </c>
      <c r="K176" s="97">
        <f t="shared" si="137"/>
        <v>0</v>
      </c>
      <c r="L176" s="97">
        <f t="shared" si="137"/>
        <v>4640</v>
      </c>
      <c r="M176" s="97">
        <f t="shared" si="137"/>
        <v>4640</v>
      </c>
      <c r="N176" s="97">
        <f>+N178+N192+N196</f>
        <v>57792</v>
      </c>
      <c r="O176" s="97">
        <f t="shared" si="137"/>
        <v>62432</v>
      </c>
      <c r="P176" s="97">
        <f>+P178+P192+P196</f>
        <v>1109874.8499999999</v>
      </c>
      <c r="Q176" s="97">
        <f t="shared" si="137"/>
        <v>1172306.85</v>
      </c>
      <c r="R176" s="97">
        <f>+R178+R192+R196</f>
        <v>16344.4</v>
      </c>
      <c r="S176" s="97">
        <f t="shared" si="137"/>
        <v>1188651.25</v>
      </c>
      <c r="T176" s="97">
        <f t="shared" si="137"/>
        <v>14852.64</v>
      </c>
      <c r="U176" s="97">
        <f t="shared" si="137"/>
        <v>1203503.89</v>
      </c>
      <c r="V176" s="97">
        <f>+V178+V192+V196</f>
        <v>57792</v>
      </c>
      <c r="W176" s="97">
        <f t="shared" si="137"/>
        <v>1261295.89</v>
      </c>
      <c r="X176" s="97">
        <f>+X178+X192+X196</f>
        <v>139038.76</v>
      </c>
      <c r="Y176" s="97">
        <f t="shared" si="137"/>
        <v>1400334.65</v>
      </c>
      <c r="Z176" s="97">
        <f t="shared" si="137"/>
        <v>0</v>
      </c>
      <c r="AA176" s="97">
        <f t="shared" si="137"/>
        <v>1400334.65</v>
      </c>
      <c r="AB176" s="97">
        <f>+AB178+AB192+AB196</f>
        <v>764684.15</v>
      </c>
      <c r="AC176" s="97">
        <f t="shared" si="137"/>
        <v>2165018.8</v>
      </c>
    </row>
    <row r="177" spans="4:29" ht="16.5" thickTop="1">
      <c r="D177" s="58"/>
      <c r="E177" s="58"/>
      <c r="F177" s="15"/>
      <c r="G177" s="73"/>
      <c r="H177" s="15"/>
      <c r="I177" s="73"/>
      <c r="J177" s="15"/>
      <c r="K177" s="73"/>
      <c r="L177" s="15"/>
      <c r="M177" s="73"/>
      <c r="N177" s="15"/>
      <c r="O177" s="73"/>
      <c r="P177" s="15"/>
      <c r="Q177" s="73"/>
      <c r="R177" s="15"/>
      <c r="S177" s="73"/>
      <c r="T177" s="15"/>
      <c r="U177" s="73"/>
      <c r="V177" s="15"/>
      <c r="W177" s="73"/>
      <c r="X177" s="15"/>
      <c r="Y177" s="73"/>
      <c r="Z177" s="15"/>
      <c r="AA177" s="73"/>
      <c r="AB177" s="15"/>
      <c r="AC177" s="73"/>
    </row>
    <row r="178" spans="2:29" ht="15.75">
      <c r="B178" s="16">
        <v>5100</v>
      </c>
      <c r="C178" s="77" t="s">
        <v>83</v>
      </c>
      <c r="D178" s="92">
        <f>SUM(D179:D190)</f>
        <v>1942493.3599999999</v>
      </c>
      <c r="E178" s="92">
        <f aca="true" t="shared" si="138" ref="E178:AC178">SUM(E179:E190)</f>
        <v>1068450.35</v>
      </c>
      <c r="F178" s="92">
        <f t="shared" si="138"/>
        <v>0</v>
      </c>
      <c r="G178" s="92">
        <f t="shared" si="138"/>
        <v>0</v>
      </c>
      <c r="H178" s="92">
        <f>SUM(H179:H190)</f>
        <v>0</v>
      </c>
      <c r="I178" s="92">
        <f t="shared" si="138"/>
        <v>0</v>
      </c>
      <c r="J178" s="92">
        <f>SUM(J179:J190)</f>
        <v>0</v>
      </c>
      <c r="K178" s="92">
        <f t="shared" si="138"/>
        <v>0</v>
      </c>
      <c r="L178" s="92">
        <f t="shared" si="138"/>
        <v>4640</v>
      </c>
      <c r="M178" s="92">
        <f t="shared" si="138"/>
        <v>4640</v>
      </c>
      <c r="N178" s="92">
        <f>SUM(N179:N190)</f>
        <v>57792</v>
      </c>
      <c r="O178" s="92">
        <f t="shared" si="138"/>
        <v>62432</v>
      </c>
      <c r="P178" s="92">
        <f>SUM(P179:P190)</f>
        <v>52785.38</v>
      </c>
      <c r="Q178" s="92">
        <f t="shared" si="138"/>
        <v>115217.38</v>
      </c>
      <c r="R178" s="92">
        <f>SUM(R179:R190)</f>
        <v>16344.4</v>
      </c>
      <c r="S178" s="92">
        <f t="shared" si="138"/>
        <v>131561.78</v>
      </c>
      <c r="T178" s="92">
        <f t="shared" si="138"/>
        <v>14852.64</v>
      </c>
      <c r="U178" s="92">
        <f t="shared" si="138"/>
        <v>146414.41999999998</v>
      </c>
      <c r="V178" s="92">
        <f>SUM(V179:V190)</f>
        <v>57792</v>
      </c>
      <c r="W178" s="92">
        <f t="shared" si="138"/>
        <v>204206.41999999998</v>
      </c>
      <c r="X178" s="92">
        <f>SUM(X179:X190)</f>
        <v>139038.76</v>
      </c>
      <c r="Y178" s="92">
        <f t="shared" si="138"/>
        <v>343245.18</v>
      </c>
      <c r="Z178" s="92">
        <f t="shared" si="138"/>
        <v>0</v>
      </c>
      <c r="AA178" s="92">
        <f t="shared" si="138"/>
        <v>343245.18</v>
      </c>
      <c r="AB178" s="92">
        <f>SUM(AB179:AB190)</f>
        <v>725205.17</v>
      </c>
      <c r="AC178" s="92">
        <f t="shared" si="138"/>
        <v>1068450.35</v>
      </c>
    </row>
    <row r="179" spans="2:29" ht="15">
      <c r="B179" s="8">
        <v>5111</v>
      </c>
      <c r="C179" s="8" t="s">
        <v>183</v>
      </c>
      <c r="D179" s="94">
        <f>+PRESUPACUM!D179</f>
        <v>0</v>
      </c>
      <c r="E179" s="94">
        <f>+PRESUPACUM!E179</f>
        <v>4535.6</v>
      </c>
      <c r="F179" s="72">
        <v>0</v>
      </c>
      <c r="G179" s="59">
        <f>+F179</f>
        <v>0</v>
      </c>
      <c r="H179" s="72">
        <v>0</v>
      </c>
      <c r="I179" s="15">
        <f>+G179+H179</f>
        <v>0</v>
      </c>
      <c r="J179" s="72">
        <v>0</v>
      </c>
      <c r="K179" s="15">
        <f>+I179+J179</f>
        <v>0</v>
      </c>
      <c r="L179" s="72">
        <v>0</v>
      </c>
      <c r="M179" s="15">
        <f>+K179+L179</f>
        <v>0</v>
      </c>
      <c r="N179" s="72">
        <v>0</v>
      </c>
      <c r="O179" s="15">
        <f>+M179+N179</f>
        <v>0</v>
      </c>
      <c r="P179" s="72">
        <v>4535.6</v>
      </c>
      <c r="Q179" s="15">
        <f>+O179+P179</f>
        <v>4535.6</v>
      </c>
      <c r="R179" s="72">
        <v>0</v>
      </c>
      <c r="S179" s="15">
        <f>+Q179+R179</f>
        <v>4535.6</v>
      </c>
      <c r="T179" s="72">
        <v>0</v>
      </c>
      <c r="U179" s="15">
        <f>+S179+T179</f>
        <v>4535.6</v>
      </c>
      <c r="V179" s="72">
        <v>0</v>
      </c>
      <c r="W179" s="15">
        <f>+U179+V179</f>
        <v>4535.6</v>
      </c>
      <c r="X179" s="72">
        <v>0</v>
      </c>
      <c r="Y179" s="15">
        <f>+W179+X179</f>
        <v>4535.6</v>
      </c>
      <c r="Z179" s="72">
        <v>0</v>
      </c>
      <c r="AA179" s="15">
        <f>+Y179+Z179</f>
        <v>4535.6</v>
      </c>
      <c r="AB179" s="72">
        <v>0</v>
      </c>
      <c r="AC179" s="15">
        <f>+AA179+AB179</f>
        <v>4535.6</v>
      </c>
    </row>
    <row r="180" spans="2:29" ht="15">
      <c r="B180" s="8">
        <v>5121</v>
      </c>
      <c r="C180" s="8" t="s">
        <v>237</v>
      </c>
      <c r="D180" s="94">
        <f>+PRESUPACUM!D180</f>
        <v>0</v>
      </c>
      <c r="E180" s="94">
        <f>+PRESUPACUM!E180</f>
        <v>6484.4</v>
      </c>
      <c r="F180" s="72">
        <v>0</v>
      </c>
      <c r="G180" s="59">
        <f>+F180</f>
        <v>0</v>
      </c>
      <c r="H180" s="72">
        <v>0</v>
      </c>
      <c r="I180" s="15">
        <f>+G180+H180</f>
        <v>0</v>
      </c>
      <c r="J180" s="72">
        <v>0</v>
      </c>
      <c r="K180" s="15">
        <f>+I180+J180</f>
        <v>0</v>
      </c>
      <c r="L180" s="72">
        <v>0</v>
      </c>
      <c r="M180" s="15">
        <f>+K180+L180</f>
        <v>0</v>
      </c>
      <c r="N180" s="72">
        <v>0</v>
      </c>
      <c r="O180" s="15">
        <f>+M180+N180</f>
        <v>0</v>
      </c>
      <c r="P180" s="72">
        <v>0</v>
      </c>
      <c r="Q180" s="15">
        <f>+O180+P180</f>
        <v>0</v>
      </c>
      <c r="R180" s="72">
        <v>6484.4</v>
      </c>
      <c r="S180" s="15">
        <f>+Q180+R180</f>
        <v>6484.4</v>
      </c>
      <c r="T180" s="72">
        <v>0</v>
      </c>
      <c r="U180" s="15">
        <f>+S180+T180</f>
        <v>6484.4</v>
      </c>
      <c r="V180" s="72">
        <v>0</v>
      </c>
      <c r="W180" s="15">
        <f>+U180+V180</f>
        <v>6484.4</v>
      </c>
      <c r="X180" s="72">
        <v>0</v>
      </c>
      <c r="Y180" s="15">
        <f>+W180+X180</f>
        <v>6484.4</v>
      </c>
      <c r="Z180" s="72">
        <v>0</v>
      </c>
      <c r="AA180" s="15">
        <f>+Y180+Z180</f>
        <v>6484.4</v>
      </c>
      <c r="AB180" s="72">
        <v>0</v>
      </c>
      <c r="AC180" s="15">
        <f>+AA180+AB180</f>
        <v>6484.4</v>
      </c>
    </row>
    <row r="181" spans="2:29" ht="15">
      <c r="B181" s="8">
        <v>5151</v>
      </c>
      <c r="C181" s="8" t="s">
        <v>210</v>
      </c>
      <c r="D181" s="94">
        <f>+PRESUPACUM!D181</f>
        <v>806253.11</v>
      </c>
      <c r="E181" s="94">
        <f>+PRESUPACUM!E181</f>
        <v>825971.77</v>
      </c>
      <c r="F181" s="72">
        <v>0</v>
      </c>
      <c r="G181" s="59">
        <f aca="true" t="shared" si="139" ref="G181:G189">+F181</f>
        <v>0</v>
      </c>
      <c r="H181" s="72">
        <v>0</v>
      </c>
      <c r="I181" s="15">
        <f aca="true" t="shared" si="140" ref="I181:I189">+G181+H181</f>
        <v>0</v>
      </c>
      <c r="J181" s="72">
        <v>0</v>
      </c>
      <c r="K181" s="15">
        <f aca="true" t="shared" si="141" ref="K181:K189">+I181+J181</f>
        <v>0</v>
      </c>
      <c r="L181" s="72">
        <v>0</v>
      </c>
      <c r="M181" s="15">
        <f aca="true" t="shared" si="142" ref="M181:M189">+K181+L181</f>
        <v>0</v>
      </c>
      <c r="N181" s="72">
        <v>0</v>
      </c>
      <c r="O181" s="15">
        <f aca="true" t="shared" si="143" ref="O181:O189">+M181+N181</f>
        <v>0</v>
      </c>
      <c r="P181" s="72">
        <v>0</v>
      </c>
      <c r="Q181" s="15">
        <f aca="true" t="shared" si="144" ref="Q181:Q189">+O181+P181</f>
        <v>0</v>
      </c>
      <c r="R181" s="72">
        <v>0</v>
      </c>
      <c r="S181" s="15">
        <f aca="true" t="shared" si="145" ref="S181:S189">+Q181+R181</f>
        <v>0</v>
      </c>
      <c r="T181" s="72">
        <v>14852.64</v>
      </c>
      <c r="U181" s="15">
        <f aca="true" t="shared" si="146" ref="U181:U189">+S181+T181</f>
        <v>14852.64</v>
      </c>
      <c r="V181" s="72">
        <v>0</v>
      </c>
      <c r="W181" s="15">
        <f aca="true" t="shared" si="147" ref="W181:W189">+U181+V181</f>
        <v>14852.64</v>
      </c>
      <c r="X181" s="72">
        <v>124654.76</v>
      </c>
      <c r="Y181" s="15">
        <f aca="true" t="shared" si="148" ref="Y181:Y189">+W181+X181</f>
        <v>139507.4</v>
      </c>
      <c r="Z181" s="72">
        <v>0</v>
      </c>
      <c r="AA181" s="15">
        <f aca="true" t="shared" si="149" ref="AA181:AA189">+Y181+Z181</f>
        <v>139507.4</v>
      </c>
      <c r="AB181" s="72">
        <v>686464.37</v>
      </c>
      <c r="AC181" s="15">
        <f aca="true" t="shared" si="150" ref="AC181:AC189">+AA181+AB181</f>
        <v>825971.77</v>
      </c>
    </row>
    <row r="182" spans="2:29" ht="15">
      <c r="B182" s="8">
        <v>5191</v>
      </c>
      <c r="C182" s="8" t="s">
        <v>184</v>
      </c>
      <c r="D182" s="94">
        <f>+PRESUPACUM!D182</f>
        <v>996840.25</v>
      </c>
      <c r="E182" s="94">
        <f>+PRESUPACUM!E182</f>
        <v>77133.78000000003</v>
      </c>
      <c r="F182" s="72">
        <v>0</v>
      </c>
      <c r="G182" s="59">
        <f t="shared" si="139"/>
        <v>0</v>
      </c>
      <c r="H182" s="72">
        <v>0</v>
      </c>
      <c r="I182" s="15">
        <f t="shared" si="140"/>
        <v>0</v>
      </c>
      <c r="J182" s="72">
        <v>0</v>
      </c>
      <c r="K182" s="15">
        <f t="shared" si="141"/>
        <v>0</v>
      </c>
      <c r="L182" s="72">
        <v>4640</v>
      </c>
      <c r="M182" s="15">
        <f t="shared" si="142"/>
        <v>4640</v>
      </c>
      <c r="N182" s="72">
        <v>0</v>
      </c>
      <c r="O182" s="15">
        <f t="shared" si="143"/>
        <v>4640</v>
      </c>
      <c r="P182" s="72">
        <v>48249.78</v>
      </c>
      <c r="Q182" s="15">
        <f t="shared" si="144"/>
        <v>52889.78</v>
      </c>
      <c r="R182" s="72">
        <v>9860</v>
      </c>
      <c r="S182" s="15">
        <f t="shared" si="145"/>
        <v>62749.78</v>
      </c>
      <c r="T182" s="72">
        <v>0</v>
      </c>
      <c r="U182" s="15">
        <f t="shared" si="146"/>
        <v>62749.78</v>
      </c>
      <c r="V182" s="72">
        <v>0</v>
      </c>
      <c r="W182" s="15">
        <f t="shared" si="147"/>
        <v>62749.78</v>
      </c>
      <c r="X182" s="72">
        <v>14384</v>
      </c>
      <c r="Y182" s="15">
        <f t="shared" si="148"/>
        <v>77133.78</v>
      </c>
      <c r="Z182" s="72">
        <v>0</v>
      </c>
      <c r="AA182" s="15">
        <f t="shared" si="149"/>
        <v>77133.78</v>
      </c>
      <c r="AB182" s="72">
        <v>0</v>
      </c>
      <c r="AC182" s="15">
        <f t="shared" si="150"/>
        <v>77133.78</v>
      </c>
    </row>
    <row r="183" spans="2:29" ht="15">
      <c r="B183" s="8">
        <v>5211</v>
      </c>
      <c r="C183" s="8" t="s">
        <v>220</v>
      </c>
      <c r="D183" s="94">
        <f>+PRESUPACUM!D183</f>
        <v>0</v>
      </c>
      <c r="E183" s="94">
        <f>+PRESUPACUM!E183</f>
        <v>0</v>
      </c>
      <c r="F183" s="72">
        <v>0</v>
      </c>
      <c r="G183" s="59">
        <f>+F183</f>
        <v>0</v>
      </c>
      <c r="H183" s="72">
        <v>0</v>
      </c>
      <c r="I183" s="15">
        <f>+G183+H183</f>
        <v>0</v>
      </c>
      <c r="J183" s="72">
        <v>0</v>
      </c>
      <c r="K183" s="15">
        <f>+I183+J183</f>
        <v>0</v>
      </c>
      <c r="L183" s="72">
        <v>0</v>
      </c>
      <c r="M183" s="15">
        <f>+K183+L183</f>
        <v>0</v>
      </c>
      <c r="N183" s="72">
        <v>0</v>
      </c>
      <c r="O183" s="15">
        <f>+M183+N183</f>
        <v>0</v>
      </c>
      <c r="P183" s="72">
        <v>0</v>
      </c>
      <c r="Q183" s="15">
        <f>+O183+P183</f>
        <v>0</v>
      </c>
      <c r="R183" s="72">
        <v>0</v>
      </c>
      <c r="S183" s="15">
        <f>+Q183+R183</f>
        <v>0</v>
      </c>
      <c r="T183" s="72">
        <v>0</v>
      </c>
      <c r="U183" s="15">
        <f>+S183+T183</f>
        <v>0</v>
      </c>
      <c r="V183" s="72">
        <v>0</v>
      </c>
      <c r="W183" s="15">
        <f>+U183+V183</f>
        <v>0</v>
      </c>
      <c r="X183" s="72">
        <v>0</v>
      </c>
      <c r="Y183" s="15">
        <f>+W183+X183</f>
        <v>0</v>
      </c>
      <c r="Z183" s="72">
        <v>0</v>
      </c>
      <c r="AA183" s="15">
        <f>+Y183+Z183</f>
        <v>0</v>
      </c>
      <c r="AB183" s="72">
        <v>0</v>
      </c>
      <c r="AC183" s="15">
        <f>+AA183+AB183</f>
        <v>0</v>
      </c>
    </row>
    <row r="184" spans="2:29" ht="15">
      <c r="B184" s="8">
        <v>5231</v>
      </c>
      <c r="C184" s="8" t="s">
        <v>227</v>
      </c>
      <c r="D184" s="94">
        <f>+PRESUPACUM!D184</f>
        <v>139400</v>
      </c>
      <c r="E184" s="94">
        <f>+PRESUPACUM!E184</f>
        <v>136368</v>
      </c>
      <c r="F184" s="72">
        <v>0</v>
      </c>
      <c r="G184" s="59">
        <f>+F184</f>
        <v>0</v>
      </c>
      <c r="H184" s="72">
        <v>0</v>
      </c>
      <c r="I184" s="15">
        <f>+G184+H184</f>
        <v>0</v>
      </c>
      <c r="J184" s="72">
        <v>0</v>
      </c>
      <c r="K184" s="15">
        <f>+I184+J184</f>
        <v>0</v>
      </c>
      <c r="L184" s="72">
        <v>0</v>
      </c>
      <c r="M184" s="15">
        <f>+K184+L184</f>
        <v>0</v>
      </c>
      <c r="N184" s="72">
        <v>57792</v>
      </c>
      <c r="O184" s="15">
        <f>+M184+N184</f>
        <v>57792</v>
      </c>
      <c r="P184" s="72">
        <v>0</v>
      </c>
      <c r="Q184" s="15">
        <f>+O184+P184</f>
        <v>57792</v>
      </c>
      <c r="R184" s="72">
        <v>0</v>
      </c>
      <c r="S184" s="15">
        <f>+Q184+R184</f>
        <v>57792</v>
      </c>
      <c r="T184" s="72">
        <v>0</v>
      </c>
      <c r="U184" s="15">
        <f>+S184+T184</f>
        <v>57792</v>
      </c>
      <c r="V184" s="72">
        <v>57792</v>
      </c>
      <c r="W184" s="15">
        <f>+U184+V184</f>
        <v>115584</v>
      </c>
      <c r="X184" s="72">
        <v>0</v>
      </c>
      <c r="Y184" s="15">
        <f>+W184+X184</f>
        <v>115584</v>
      </c>
      <c r="Z184" s="72">
        <v>0</v>
      </c>
      <c r="AA184" s="15">
        <f>+Y184+Z184</f>
        <v>115584</v>
      </c>
      <c r="AB184" s="72">
        <v>20784</v>
      </c>
      <c r="AC184" s="15">
        <f>+AA184+AB184</f>
        <v>136368</v>
      </c>
    </row>
    <row r="185" spans="2:31" ht="15">
      <c r="B185" s="8">
        <v>5413</v>
      </c>
      <c r="C185" s="8" t="s">
        <v>211</v>
      </c>
      <c r="D185" s="94">
        <f>+PRESUPACUM!D185</f>
        <v>0</v>
      </c>
      <c r="E185" s="94">
        <f>+PRESUPACUM!E185</f>
        <v>0</v>
      </c>
      <c r="F185" s="72">
        <v>0</v>
      </c>
      <c r="G185" s="59">
        <f t="shared" si="139"/>
        <v>0</v>
      </c>
      <c r="H185" s="72">
        <v>0</v>
      </c>
      <c r="I185" s="15">
        <f t="shared" si="140"/>
        <v>0</v>
      </c>
      <c r="J185" s="72">
        <v>0</v>
      </c>
      <c r="K185" s="15">
        <f t="shared" si="141"/>
        <v>0</v>
      </c>
      <c r="L185" s="72">
        <v>0</v>
      </c>
      <c r="M185" s="15">
        <f t="shared" si="142"/>
        <v>0</v>
      </c>
      <c r="N185" s="72">
        <v>0</v>
      </c>
      <c r="O185" s="15">
        <f t="shared" si="143"/>
        <v>0</v>
      </c>
      <c r="P185" s="72">
        <v>0</v>
      </c>
      <c r="Q185" s="15">
        <f t="shared" si="144"/>
        <v>0</v>
      </c>
      <c r="R185" s="72">
        <v>0</v>
      </c>
      <c r="S185" s="15">
        <f t="shared" si="145"/>
        <v>0</v>
      </c>
      <c r="T185" s="72">
        <v>0</v>
      </c>
      <c r="U185" s="15">
        <f t="shared" si="146"/>
        <v>0</v>
      </c>
      <c r="V185" s="72">
        <v>0</v>
      </c>
      <c r="W185" s="15">
        <f t="shared" si="147"/>
        <v>0</v>
      </c>
      <c r="X185" s="72">
        <v>0</v>
      </c>
      <c r="Y185" s="15">
        <f t="shared" si="148"/>
        <v>0</v>
      </c>
      <c r="Z185" s="72">
        <v>0</v>
      </c>
      <c r="AA185" s="15">
        <f t="shared" si="149"/>
        <v>0</v>
      </c>
      <c r="AB185" s="72">
        <v>0</v>
      </c>
      <c r="AC185" s="15">
        <f t="shared" si="150"/>
        <v>0</v>
      </c>
      <c r="AE185" s="15"/>
    </row>
    <row r="186" spans="2:29" ht="15">
      <c r="B186" s="8">
        <v>5621</v>
      </c>
      <c r="C186" s="8" t="s">
        <v>233</v>
      </c>
      <c r="D186" s="94">
        <f>+PRESUPACUM!D186</f>
        <v>0</v>
      </c>
      <c r="E186" s="94">
        <f>+PRESUPACUM!E186</f>
        <v>0</v>
      </c>
      <c r="F186" s="72">
        <v>0</v>
      </c>
      <c r="G186" s="59">
        <f>+F186</f>
        <v>0</v>
      </c>
      <c r="H186" s="72">
        <v>0</v>
      </c>
      <c r="I186" s="15">
        <f>+G186+H186</f>
        <v>0</v>
      </c>
      <c r="J186" s="72">
        <v>0</v>
      </c>
      <c r="K186" s="15">
        <f>+I186+J186</f>
        <v>0</v>
      </c>
      <c r="L186" s="72">
        <v>0</v>
      </c>
      <c r="M186" s="15">
        <f>+K186+L186</f>
        <v>0</v>
      </c>
      <c r="N186" s="72">
        <v>0</v>
      </c>
      <c r="O186" s="15">
        <f>+M186+N186</f>
        <v>0</v>
      </c>
      <c r="P186" s="72">
        <v>0</v>
      </c>
      <c r="Q186" s="15">
        <f>+O186+P186</f>
        <v>0</v>
      </c>
      <c r="R186" s="72">
        <v>0</v>
      </c>
      <c r="S186" s="15">
        <f>+Q186+R186</f>
        <v>0</v>
      </c>
      <c r="T186" s="72">
        <v>0</v>
      </c>
      <c r="U186" s="15">
        <f>+S186+T186</f>
        <v>0</v>
      </c>
      <c r="V186" s="72">
        <v>0</v>
      </c>
      <c r="W186" s="15">
        <f>+U186+V186</f>
        <v>0</v>
      </c>
      <c r="X186" s="72">
        <v>0</v>
      </c>
      <c r="Y186" s="15">
        <f>+W186+X186</f>
        <v>0</v>
      </c>
      <c r="Z186" s="72">
        <v>0</v>
      </c>
      <c r="AA186" s="15">
        <f>+Y186+Z186</f>
        <v>0</v>
      </c>
      <c r="AB186" s="72">
        <v>0</v>
      </c>
      <c r="AC186" s="15">
        <f>+AA186+AB186</f>
        <v>0</v>
      </c>
    </row>
    <row r="187" spans="2:29" ht="15">
      <c r="B187" s="8">
        <v>5641</v>
      </c>
      <c r="C187" s="8" t="s">
        <v>185</v>
      </c>
      <c r="D187" s="94">
        <f>+PRESUPACUM!D187</f>
        <v>0</v>
      </c>
      <c r="E187" s="94">
        <f>+PRESUPACUM!E187</f>
        <v>0</v>
      </c>
      <c r="F187" s="72">
        <v>0</v>
      </c>
      <c r="G187" s="59">
        <f t="shared" si="139"/>
        <v>0</v>
      </c>
      <c r="H187" s="72">
        <v>0</v>
      </c>
      <c r="I187" s="15">
        <f t="shared" si="140"/>
        <v>0</v>
      </c>
      <c r="J187" s="72">
        <v>0</v>
      </c>
      <c r="K187" s="15">
        <f t="shared" si="141"/>
        <v>0</v>
      </c>
      <c r="L187" s="72">
        <v>0</v>
      </c>
      <c r="M187" s="15">
        <f t="shared" si="142"/>
        <v>0</v>
      </c>
      <c r="N187" s="72">
        <v>0</v>
      </c>
      <c r="O187" s="15">
        <f t="shared" si="143"/>
        <v>0</v>
      </c>
      <c r="P187" s="72">
        <v>0</v>
      </c>
      <c r="Q187" s="15">
        <f t="shared" si="144"/>
        <v>0</v>
      </c>
      <c r="R187" s="72">
        <v>0</v>
      </c>
      <c r="S187" s="15">
        <f t="shared" si="145"/>
        <v>0</v>
      </c>
      <c r="T187" s="72">
        <v>0</v>
      </c>
      <c r="U187" s="15">
        <f t="shared" si="146"/>
        <v>0</v>
      </c>
      <c r="V187" s="72">
        <v>0</v>
      </c>
      <c r="W187" s="15">
        <f t="shared" si="147"/>
        <v>0</v>
      </c>
      <c r="X187" s="72">
        <v>0</v>
      </c>
      <c r="Y187" s="15">
        <f t="shared" si="148"/>
        <v>0</v>
      </c>
      <c r="Z187" s="72">
        <v>0</v>
      </c>
      <c r="AA187" s="15">
        <f t="shared" si="149"/>
        <v>0</v>
      </c>
      <c r="AB187" s="72">
        <v>0</v>
      </c>
      <c r="AC187" s="15">
        <f t="shared" si="150"/>
        <v>0</v>
      </c>
    </row>
    <row r="188" spans="2:29" ht="15">
      <c r="B188" s="8">
        <v>5651</v>
      </c>
      <c r="C188" s="8" t="s">
        <v>212</v>
      </c>
      <c r="D188" s="94">
        <f>+PRESUPACUM!D188</f>
        <v>0</v>
      </c>
      <c r="E188" s="94">
        <f>+PRESUPACUM!E188</f>
        <v>0</v>
      </c>
      <c r="F188" s="72">
        <v>0</v>
      </c>
      <c r="G188" s="59">
        <f t="shared" si="139"/>
        <v>0</v>
      </c>
      <c r="H188" s="72">
        <v>0</v>
      </c>
      <c r="I188" s="15">
        <f t="shared" si="140"/>
        <v>0</v>
      </c>
      <c r="J188" s="72">
        <v>0</v>
      </c>
      <c r="K188" s="15">
        <f t="shared" si="141"/>
        <v>0</v>
      </c>
      <c r="L188" s="72">
        <v>0</v>
      </c>
      <c r="M188" s="15">
        <f t="shared" si="142"/>
        <v>0</v>
      </c>
      <c r="N188" s="72">
        <v>0</v>
      </c>
      <c r="O188" s="15">
        <f t="shared" si="143"/>
        <v>0</v>
      </c>
      <c r="P188" s="72">
        <v>0</v>
      </c>
      <c r="Q188" s="15">
        <f t="shared" si="144"/>
        <v>0</v>
      </c>
      <c r="R188" s="72">
        <v>0</v>
      </c>
      <c r="S188" s="15">
        <f t="shared" si="145"/>
        <v>0</v>
      </c>
      <c r="T188" s="72">
        <v>0</v>
      </c>
      <c r="U188" s="15">
        <f t="shared" si="146"/>
        <v>0</v>
      </c>
      <c r="V188" s="72">
        <v>0</v>
      </c>
      <c r="W188" s="15">
        <f t="shared" si="147"/>
        <v>0</v>
      </c>
      <c r="X188" s="72">
        <v>0</v>
      </c>
      <c r="Y188" s="15">
        <f t="shared" si="148"/>
        <v>0</v>
      </c>
      <c r="Z188" s="72">
        <v>0</v>
      </c>
      <c r="AA188" s="15">
        <f t="shared" si="149"/>
        <v>0</v>
      </c>
      <c r="AB188" s="72">
        <v>0</v>
      </c>
      <c r="AC188" s="15">
        <f t="shared" si="150"/>
        <v>0</v>
      </c>
    </row>
    <row r="189" spans="2:29" ht="15">
      <c r="B189" s="8">
        <v>5661</v>
      </c>
      <c r="C189" s="8" t="s">
        <v>247</v>
      </c>
      <c r="D189" s="94">
        <f>+PRESUPACUM!D189</f>
        <v>0</v>
      </c>
      <c r="E189" s="94">
        <f>+PRESUPACUM!E189</f>
        <v>17956.8</v>
      </c>
      <c r="F189" s="72">
        <v>0</v>
      </c>
      <c r="G189" s="59">
        <f t="shared" si="139"/>
        <v>0</v>
      </c>
      <c r="H189" s="72">
        <v>0</v>
      </c>
      <c r="I189" s="15">
        <f t="shared" si="140"/>
        <v>0</v>
      </c>
      <c r="J189" s="72">
        <v>0</v>
      </c>
      <c r="K189" s="15">
        <f t="shared" si="141"/>
        <v>0</v>
      </c>
      <c r="L189" s="72">
        <v>0</v>
      </c>
      <c r="M189" s="15">
        <f t="shared" si="142"/>
        <v>0</v>
      </c>
      <c r="N189" s="72">
        <v>0</v>
      </c>
      <c r="O189" s="15">
        <f t="shared" si="143"/>
        <v>0</v>
      </c>
      <c r="P189" s="72">
        <v>0</v>
      </c>
      <c r="Q189" s="15">
        <f t="shared" si="144"/>
        <v>0</v>
      </c>
      <c r="R189" s="72">
        <v>0</v>
      </c>
      <c r="S189" s="15">
        <f t="shared" si="145"/>
        <v>0</v>
      </c>
      <c r="T189" s="72">
        <v>0</v>
      </c>
      <c r="U189" s="15">
        <f t="shared" si="146"/>
        <v>0</v>
      </c>
      <c r="V189" s="72">
        <v>0</v>
      </c>
      <c r="W189" s="15">
        <f t="shared" si="147"/>
        <v>0</v>
      </c>
      <c r="X189" s="72">
        <v>0</v>
      </c>
      <c r="Y189" s="15">
        <f t="shared" si="148"/>
        <v>0</v>
      </c>
      <c r="Z189" s="72">
        <v>0</v>
      </c>
      <c r="AA189" s="15">
        <f t="shared" si="149"/>
        <v>0</v>
      </c>
      <c r="AB189" s="72">
        <f>57435.78-39478.98</f>
        <v>17956.799999999996</v>
      </c>
      <c r="AC189" s="15">
        <f t="shared" si="150"/>
        <v>17956.799999999996</v>
      </c>
    </row>
    <row r="190" spans="2:29" ht="15">
      <c r="B190" s="8">
        <v>5691</v>
      </c>
      <c r="C190" s="8" t="s">
        <v>217</v>
      </c>
      <c r="D190" s="94">
        <f>+PRESUPACUM!D190</f>
        <v>0</v>
      </c>
      <c r="E190" s="94">
        <f>+PRESUPACUM!E190</f>
        <v>0</v>
      </c>
      <c r="F190" s="72">
        <v>0</v>
      </c>
      <c r="G190" s="59">
        <f>+F190</f>
        <v>0</v>
      </c>
      <c r="H190" s="72">
        <v>0</v>
      </c>
      <c r="I190" s="15">
        <f>+G190+H190</f>
        <v>0</v>
      </c>
      <c r="J190" s="72">
        <v>0</v>
      </c>
      <c r="K190" s="15">
        <f>+I190+J190</f>
        <v>0</v>
      </c>
      <c r="L190" s="72">
        <v>0</v>
      </c>
      <c r="M190" s="15">
        <f>+K190+L190</f>
        <v>0</v>
      </c>
      <c r="N190" s="72">
        <v>0</v>
      </c>
      <c r="O190" s="15">
        <f>+M190+N190</f>
        <v>0</v>
      </c>
      <c r="P190" s="72">
        <v>0</v>
      </c>
      <c r="Q190" s="15">
        <f>+O190+P190</f>
        <v>0</v>
      </c>
      <c r="R190" s="72">
        <v>0</v>
      </c>
      <c r="S190" s="15">
        <f>+Q190+R190</f>
        <v>0</v>
      </c>
      <c r="T190" s="72">
        <v>0</v>
      </c>
      <c r="U190" s="15">
        <f>+S190+T190</f>
        <v>0</v>
      </c>
      <c r="V190" s="72">
        <v>0</v>
      </c>
      <c r="W190" s="15">
        <f>+U190+V190</f>
        <v>0</v>
      </c>
      <c r="X190" s="72">
        <v>0</v>
      </c>
      <c r="Y190" s="15">
        <f>+W190+X190</f>
        <v>0</v>
      </c>
      <c r="Z190" s="72">
        <v>0</v>
      </c>
      <c r="AA190" s="15">
        <f>+Y190+Z190</f>
        <v>0</v>
      </c>
      <c r="AB190" s="72">
        <v>0</v>
      </c>
      <c r="AC190" s="15">
        <f>+AA190+AB190</f>
        <v>0</v>
      </c>
    </row>
    <row r="191" spans="4:29" ht="15">
      <c r="D191" s="94"/>
      <c r="E191" s="94"/>
      <c r="F191" s="72"/>
      <c r="G191" s="59"/>
      <c r="H191" s="72"/>
      <c r="I191" s="15"/>
      <c r="J191" s="72"/>
      <c r="K191" s="15"/>
      <c r="L191" s="72"/>
      <c r="M191" s="15"/>
      <c r="N191" s="72"/>
      <c r="O191" s="15"/>
      <c r="P191" s="72"/>
      <c r="Q191" s="15"/>
      <c r="R191" s="72"/>
      <c r="S191" s="15"/>
      <c r="T191" s="72"/>
      <c r="U191" s="15"/>
      <c r="V191" s="72"/>
      <c r="W191" s="15"/>
      <c r="X191" s="72"/>
      <c r="Y191" s="15"/>
      <c r="Z191" s="72"/>
      <c r="AA191" s="15"/>
      <c r="AB191" s="72"/>
      <c r="AC191" s="15"/>
    </row>
    <row r="192" spans="2:29" ht="15.75">
      <c r="B192" s="16">
        <v>5800</v>
      </c>
      <c r="C192" s="77" t="s">
        <v>157</v>
      </c>
      <c r="D192" s="92">
        <f aca="true" t="shared" si="151" ref="D192:AC192">SUM(D193:D194)</f>
        <v>0</v>
      </c>
      <c r="E192" s="92">
        <f>SUM(E193:E194)</f>
        <v>0</v>
      </c>
      <c r="F192" s="70">
        <f t="shared" si="151"/>
        <v>0</v>
      </c>
      <c r="G192" s="70">
        <f t="shared" si="151"/>
        <v>0</v>
      </c>
      <c r="H192" s="70">
        <f>SUM(H193:H194)</f>
        <v>0</v>
      </c>
      <c r="I192" s="70">
        <f t="shared" si="151"/>
        <v>0</v>
      </c>
      <c r="J192" s="70">
        <f>SUM(J193:J194)</f>
        <v>0</v>
      </c>
      <c r="K192" s="70">
        <f t="shared" si="151"/>
        <v>0</v>
      </c>
      <c r="L192" s="70">
        <f t="shared" si="151"/>
        <v>0</v>
      </c>
      <c r="M192" s="70">
        <f t="shared" si="151"/>
        <v>0</v>
      </c>
      <c r="N192" s="70">
        <f>SUM(N193:N194)</f>
        <v>0</v>
      </c>
      <c r="O192" s="70">
        <f t="shared" si="151"/>
        <v>0</v>
      </c>
      <c r="P192" s="70">
        <f>SUM(P193:P194)</f>
        <v>0</v>
      </c>
      <c r="Q192" s="70">
        <f t="shared" si="151"/>
        <v>0</v>
      </c>
      <c r="R192" s="70">
        <f>SUM(R193:R194)</f>
        <v>0</v>
      </c>
      <c r="S192" s="70">
        <f t="shared" si="151"/>
        <v>0</v>
      </c>
      <c r="T192" s="70">
        <f t="shared" si="151"/>
        <v>0</v>
      </c>
      <c r="U192" s="70">
        <f t="shared" si="151"/>
        <v>0</v>
      </c>
      <c r="V192" s="70">
        <f>SUM(V193:V194)</f>
        <v>0</v>
      </c>
      <c r="W192" s="70">
        <f t="shared" si="151"/>
        <v>0</v>
      </c>
      <c r="X192" s="70">
        <f>SUM(X193:X194)</f>
        <v>0</v>
      </c>
      <c r="Y192" s="70">
        <f t="shared" si="151"/>
        <v>0</v>
      </c>
      <c r="Z192" s="70">
        <f t="shared" si="151"/>
        <v>0</v>
      </c>
      <c r="AA192" s="70">
        <f t="shared" si="151"/>
        <v>0</v>
      </c>
      <c r="AB192" s="70">
        <f>SUM(AB193:AB194)</f>
        <v>0</v>
      </c>
      <c r="AC192" s="70">
        <f t="shared" si="151"/>
        <v>0</v>
      </c>
    </row>
    <row r="193" spans="2:29" ht="15">
      <c r="B193" s="8">
        <v>5831</v>
      </c>
      <c r="C193" s="8" t="s">
        <v>158</v>
      </c>
      <c r="D193" s="93">
        <f>+PRESUPACUM!D193</f>
        <v>0</v>
      </c>
      <c r="E193" s="93">
        <f>+PRESUPACUM!E193</f>
        <v>0</v>
      </c>
      <c r="F193" s="17">
        <v>0</v>
      </c>
      <c r="G193" s="86">
        <f>+F193</f>
        <v>0</v>
      </c>
      <c r="H193" s="17">
        <v>0</v>
      </c>
      <c r="I193" s="18">
        <f>+G193+H193</f>
        <v>0</v>
      </c>
      <c r="J193" s="17">
        <v>0</v>
      </c>
      <c r="K193" s="18">
        <f>+I193+J193</f>
        <v>0</v>
      </c>
      <c r="L193" s="17">
        <v>0</v>
      </c>
      <c r="M193" s="18">
        <f>+K193+L193</f>
        <v>0</v>
      </c>
      <c r="N193" s="17">
        <v>0</v>
      </c>
      <c r="O193" s="18">
        <f>+M193+N193</f>
        <v>0</v>
      </c>
      <c r="P193" s="17">
        <v>0</v>
      </c>
      <c r="Q193" s="18">
        <f>+O193+P193</f>
        <v>0</v>
      </c>
      <c r="R193" s="17">
        <v>0</v>
      </c>
      <c r="S193" s="18">
        <f>+Q193+R193</f>
        <v>0</v>
      </c>
      <c r="T193" s="17">
        <v>0</v>
      </c>
      <c r="U193" s="18">
        <f>+S193+T193</f>
        <v>0</v>
      </c>
      <c r="V193" s="17">
        <v>0</v>
      </c>
      <c r="W193" s="15">
        <f>+U193+V193</f>
        <v>0</v>
      </c>
      <c r="X193" s="17">
        <v>0</v>
      </c>
      <c r="Y193" s="15">
        <f>+W193+X193</f>
        <v>0</v>
      </c>
      <c r="Z193" s="17">
        <v>0</v>
      </c>
      <c r="AA193" s="15">
        <f>+Y193+Z193</f>
        <v>0</v>
      </c>
      <c r="AB193" s="17">
        <v>0</v>
      </c>
      <c r="AC193" s="15">
        <f>+AA193+AB193</f>
        <v>0</v>
      </c>
    </row>
    <row r="194" spans="2:29" ht="15">
      <c r="B194" s="57">
        <v>5891</v>
      </c>
      <c r="C194" s="14" t="s">
        <v>159</v>
      </c>
      <c r="D194" s="93">
        <f>+PRESUPACUM!D194</f>
        <v>0</v>
      </c>
      <c r="E194" s="93">
        <f>+PRESUPACUM!E194</f>
        <v>0</v>
      </c>
      <c r="F194" s="17">
        <v>0</v>
      </c>
      <c r="G194" s="59">
        <f>+F194</f>
        <v>0</v>
      </c>
      <c r="H194" s="17">
        <v>0</v>
      </c>
      <c r="I194" s="15">
        <f>+G194+H194</f>
        <v>0</v>
      </c>
      <c r="J194" s="17">
        <v>0</v>
      </c>
      <c r="K194" s="15">
        <f>+I194+J194</f>
        <v>0</v>
      </c>
      <c r="L194" s="17">
        <v>0</v>
      </c>
      <c r="M194" s="15">
        <f>+K194+L194</f>
        <v>0</v>
      </c>
      <c r="N194" s="17">
        <v>0</v>
      </c>
      <c r="O194" s="15">
        <f>+M194+N194</f>
        <v>0</v>
      </c>
      <c r="P194" s="17">
        <v>0</v>
      </c>
      <c r="Q194" s="15">
        <f>+O194+P194</f>
        <v>0</v>
      </c>
      <c r="R194" s="17">
        <v>0</v>
      </c>
      <c r="S194" s="15">
        <f>+Q194+R194</f>
        <v>0</v>
      </c>
      <c r="T194" s="17">
        <v>0</v>
      </c>
      <c r="U194" s="15">
        <f>+S194+T194</f>
        <v>0</v>
      </c>
      <c r="V194" s="17">
        <v>0</v>
      </c>
      <c r="W194" s="15">
        <f>+U194+V194</f>
        <v>0</v>
      </c>
      <c r="X194" s="17">
        <v>0</v>
      </c>
      <c r="Y194" s="15">
        <f>+W194+X194</f>
        <v>0</v>
      </c>
      <c r="Z194" s="17">
        <v>0</v>
      </c>
      <c r="AA194" s="15">
        <f>+Y194+Z194</f>
        <v>0</v>
      </c>
      <c r="AB194" s="17">
        <v>0</v>
      </c>
      <c r="AC194" s="15">
        <f>+AA194+AB194</f>
        <v>0</v>
      </c>
    </row>
    <row r="195" spans="4:29" ht="15">
      <c r="D195" s="58"/>
      <c r="E195" s="58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2:29" ht="15.75">
      <c r="B196" s="16">
        <v>5900</v>
      </c>
      <c r="C196" s="77" t="s">
        <v>160</v>
      </c>
      <c r="D196" s="92">
        <f>SUM(D197:D202)</f>
        <v>1493981.16</v>
      </c>
      <c r="E196" s="92">
        <f>SUM(E197:E202)</f>
        <v>1096568.45</v>
      </c>
      <c r="F196" s="92">
        <f aca="true" t="shared" si="152" ref="F196:AC196">SUM(F197:F202)</f>
        <v>0</v>
      </c>
      <c r="G196" s="92">
        <f t="shared" si="152"/>
        <v>0</v>
      </c>
      <c r="H196" s="92">
        <f>SUM(H197:H202)</f>
        <v>0</v>
      </c>
      <c r="I196" s="92">
        <f t="shared" si="152"/>
        <v>0</v>
      </c>
      <c r="J196" s="92">
        <f>SUM(J197:J202)</f>
        <v>0</v>
      </c>
      <c r="K196" s="92">
        <f t="shared" si="152"/>
        <v>0</v>
      </c>
      <c r="L196" s="92">
        <f t="shared" si="152"/>
        <v>0</v>
      </c>
      <c r="M196" s="92">
        <f t="shared" si="152"/>
        <v>0</v>
      </c>
      <c r="N196" s="92">
        <f>SUM(N197:N202)</f>
        <v>0</v>
      </c>
      <c r="O196" s="92">
        <f t="shared" si="152"/>
        <v>0</v>
      </c>
      <c r="P196" s="92">
        <f>SUM(P197:P202)</f>
        <v>1057089.47</v>
      </c>
      <c r="Q196" s="92">
        <f t="shared" si="152"/>
        <v>1057089.47</v>
      </c>
      <c r="R196" s="92">
        <f>SUM(R197:R202)</f>
        <v>0</v>
      </c>
      <c r="S196" s="92">
        <f t="shared" si="152"/>
        <v>1057089.47</v>
      </c>
      <c r="T196" s="92">
        <f t="shared" si="152"/>
        <v>0</v>
      </c>
      <c r="U196" s="92">
        <f t="shared" si="152"/>
        <v>1057089.47</v>
      </c>
      <c r="V196" s="92">
        <f>SUM(V197:V202)</f>
        <v>0</v>
      </c>
      <c r="W196" s="92">
        <f t="shared" si="152"/>
        <v>1057089.47</v>
      </c>
      <c r="X196" s="92">
        <f>SUM(X197:X202)</f>
        <v>0</v>
      </c>
      <c r="Y196" s="92">
        <f t="shared" si="152"/>
        <v>1057089.47</v>
      </c>
      <c r="Z196" s="92">
        <f t="shared" si="152"/>
        <v>0</v>
      </c>
      <c r="AA196" s="92">
        <f t="shared" si="152"/>
        <v>1057089.47</v>
      </c>
      <c r="AB196" s="92">
        <f>SUM(AB197:AB202)</f>
        <v>39478.98</v>
      </c>
      <c r="AC196" s="92">
        <f t="shared" si="152"/>
        <v>1096568.45</v>
      </c>
    </row>
    <row r="197" spans="2:29" ht="15">
      <c r="B197" s="8">
        <v>5911</v>
      </c>
      <c r="C197" s="8" t="s">
        <v>161</v>
      </c>
      <c r="D197" s="93">
        <f>+PRESUPACUM!D197</f>
        <v>0</v>
      </c>
      <c r="E197" s="93">
        <f>+PRESUPACUM!E197</f>
        <v>39478.98000000001</v>
      </c>
      <c r="F197" s="17">
        <v>0</v>
      </c>
      <c r="G197" s="59">
        <f aca="true" t="shared" si="153" ref="G197:G202">+F197</f>
        <v>0</v>
      </c>
      <c r="H197" s="17">
        <v>0</v>
      </c>
      <c r="I197" s="15">
        <f aca="true" t="shared" si="154" ref="I197:I202">+G197+H197</f>
        <v>0</v>
      </c>
      <c r="J197" s="17">
        <v>0</v>
      </c>
      <c r="K197" s="15">
        <f aca="true" t="shared" si="155" ref="K197:K202">+I197+J197</f>
        <v>0</v>
      </c>
      <c r="L197" s="17">
        <v>0</v>
      </c>
      <c r="M197" s="15">
        <f aca="true" t="shared" si="156" ref="M197:M202">+K197+L197</f>
        <v>0</v>
      </c>
      <c r="N197" s="17">
        <v>0</v>
      </c>
      <c r="O197" s="15">
        <f aca="true" t="shared" si="157" ref="O197:O202">+M197+N197</f>
        <v>0</v>
      </c>
      <c r="P197" s="17">
        <v>0</v>
      </c>
      <c r="Q197" s="15">
        <f aca="true" t="shared" si="158" ref="Q197:Q202">+O197+P197</f>
        <v>0</v>
      </c>
      <c r="R197" s="17">
        <v>0</v>
      </c>
      <c r="S197" s="15">
        <f aca="true" t="shared" si="159" ref="S197:S202">+Q197+R197</f>
        <v>0</v>
      </c>
      <c r="T197" s="17">
        <v>0</v>
      </c>
      <c r="U197" s="15">
        <f aca="true" t="shared" si="160" ref="U197:U202">+S197+T197</f>
        <v>0</v>
      </c>
      <c r="V197" s="17">
        <v>0</v>
      </c>
      <c r="W197" s="15">
        <f aca="true" t="shared" si="161" ref="W197:W202">+U197+V197</f>
        <v>0</v>
      </c>
      <c r="X197" s="17">
        <v>0</v>
      </c>
      <c r="Y197" s="15">
        <f aca="true" t="shared" si="162" ref="Y197:Y202">+W197+X197</f>
        <v>0</v>
      </c>
      <c r="Z197" s="17">
        <v>0</v>
      </c>
      <c r="AA197" s="15">
        <f aca="true" t="shared" si="163" ref="AA197:AA202">+Y197+Z197</f>
        <v>0</v>
      </c>
      <c r="AB197" s="17">
        <v>39478.98</v>
      </c>
      <c r="AC197" s="15">
        <f aca="true" t="shared" si="164" ref="AC197:AC202">+AA197+AB197</f>
        <v>39478.98</v>
      </c>
    </row>
    <row r="198" spans="2:29" ht="15">
      <c r="B198" s="8">
        <v>5921</v>
      </c>
      <c r="C198" s="8" t="s">
        <v>162</v>
      </c>
      <c r="D198" s="93">
        <f>+PRESUPACUM!D198</f>
        <v>0</v>
      </c>
      <c r="E198" s="93">
        <f>+PRESUPACUM!E198</f>
        <v>0</v>
      </c>
      <c r="F198" s="17">
        <v>0</v>
      </c>
      <c r="G198" s="59">
        <f t="shared" si="153"/>
        <v>0</v>
      </c>
      <c r="H198" s="17">
        <v>0</v>
      </c>
      <c r="I198" s="15">
        <f t="shared" si="154"/>
        <v>0</v>
      </c>
      <c r="J198" s="17">
        <v>0</v>
      </c>
      <c r="K198" s="15">
        <f t="shared" si="155"/>
        <v>0</v>
      </c>
      <c r="L198" s="17">
        <v>0</v>
      </c>
      <c r="M198" s="15">
        <f t="shared" si="156"/>
        <v>0</v>
      </c>
      <c r="N198" s="17">
        <v>0</v>
      </c>
      <c r="O198" s="15">
        <f t="shared" si="157"/>
        <v>0</v>
      </c>
      <c r="P198" s="17">
        <v>0</v>
      </c>
      <c r="Q198" s="15">
        <f t="shared" si="158"/>
        <v>0</v>
      </c>
      <c r="R198" s="17">
        <v>0</v>
      </c>
      <c r="S198" s="15">
        <f t="shared" si="159"/>
        <v>0</v>
      </c>
      <c r="T198" s="17">
        <v>0</v>
      </c>
      <c r="U198" s="15">
        <f t="shared" si="160"/>
        <v>0</v>
      </c>
      <c r="V198" s="17">
        <v>0</v>
      </c>
      <c r="W198" s="15">
        <f t="shared" si="161"/>
        <v>0</v>
      </c>
      <c r="X198" s="17">
        <v>0</v>
      </c>
      <c r="Y198" s="15">
        <f t="shared" si="162"/>
        <v>0</v>
      </c>
      <c r="Z198" s="17">
        <v>0</v>
      </c>
      <c r="AA198" s="15">
        <f t="shared" si="163"/>
        <v>0</v>
      </c>
      <c r="AB198" s="17">
        <v>0</v>
      </c>
      <c r="AC198" s="15">
        <f t="shared" si="164"/>
        <v>0</v>
      </c>
    </row>
    <row r="199" spans="2:29" ht="15">
      <c r="B199" s="8">
        <v>5931</v>
      </c>
      <c r="C199" s="8" t="s">
        <v>163</v>
      </c>
      <c r="D199" s="93">
        <f>+PRESUPACUM!D199</f>
        <v>0</v>
      </c>
      <c r="E199" s="93">
        <f>+PRESUPACUM!E199</f>
        <v>0</v>
      </c>
      <c r="F199" s="17">
        <v>0</v>
      </c>
      <c r="G199" s="59">
        <f t="shared" si="153"/>
        <v>0</v>
      </c>
      <c r="H199" s="17">
        <v>0</v>
      </c>
      <c r="I199" s="15">
        <f t="shared" si="154"/>
        <v>0</v>
      </c>
      <c r="J199" s="17">
        <v>0</v>
      </c>
      <c r="K199" s="15">
        <f t="shared" si="155"/>
        <v>0</v>
      </c>
      <c r="L199" s="17">
        <v>0</v>
      </c>
      <c r="M199" s="15">
        <f t="shared" si="156"/>
        <v>0</v>
      </c>
      <c r="N199" s="17">
        <v>0</v>
      </c>
      <c r="O199" s="15">
        <f t="shared" si="157"/>
        <v>0</v>
      </c>
      <c r="P199" s="17">
        <v>0</v>
      </c>
      <c r="Q199" s="15">
        <f t="shared" si="158"/>
        <v>0</v>
      </c>
      <c r="R199" s="17">
        <v>0</v>
      </c>
      <c r="S199" s="15">
        <f t="shared" si="159"/>
        <v>0</v>
      </c>
      <c r="T199" s="17">
        <v>0</v>
      </c>
      <c r="U199" s="15">
        <f t="shared" si="160"/>
        <v>0</v>
      </c>
      <c r="V199" s="17">
        <v>0</v>
      </c>
      <c r="W199" s="15">
        <f t="shared" si="161"/>
        <v>0</v>
      </c>
      <c r="X199" s="17">
        <v>0</v>
      </c>
      <c r="Y199" s="15">
        <f t="shared" si="162"/>
        <v>0</v>
      </c>
      <c r="Z199" s="17">
        <v>0</v>
      </c>
      <c r="AA199" s="15">
        <f t="shared" si="163"/>
        <v>0</v>
      </c>
      <c r="AB199" s="17">
        <v>0</v>
      </c>
      <c r="AC199" s="15">
        <f t="shared" si="164"/>
        <v>0</v>
      </c>
    </row>
    <row r="200" spans="2:29" ht="15">
      <c r="B200" s="8">
        <v>5941</v>
      </c>
      <c r="C200" s="8" t="s">
        <v>164</v>
      </c>
      <c r="D200" s="93">
        <f>+PRESUPACUM!D200</f>
        <v>0</v>
      </c>
      <c r="E200" s="93">
        <f>+PRESUPACUM!E200</f>
        <v>0</v>
      </c>
      <c r="F200" s="17">
        <v>0</v>
      </c>
      <c r="G200" s="59">
        <f t="shared" si="153"/>
        <v>0</v>
      </c>
      <c r="H200" s="17">
        <v>0</v>
      </c>
      <c r="I200" s="15">
        <f t="shared" si="154"/>
        <v>0</v>
      </c>
      <c r="J200" s="17">
        <v>0</v>
      </c>
      <c r="K200" s="15">
        <f t="shared" si="155"/>
        <v>0</v>
      </c>
      <c r="L200" s="17">
        <v>0</v>
      </c>
      <c r="M200" s="15">
        <f t="shared" si="156"/>
        <v>0</v>
      </c>
      <c r="N200" s="17">
        <v>0</v>
      </c>
      <c r="O200" s="15">
        <f t="shared" si="157"/>
        <v>0</v>
      </c>
      <c r="P200" s="17">
        <v>0</v>
      </c>
      <c r="Q200" s="15">
        <f t="shared" si="158"/>
        <v>0</v>
      </c>
      <c r="R200" s="17">
        <v>0</v>
      </c>
      <c r="S200" s="15">
        <f t="shared" si="159"/>
        <v>0</v>
      </c>
      <c r="T200" s="17">
        <v>0</v>
      </c>
      <c r="U200" s="15">
        <f t="shared" si="160"/>
        <v>0</v>
      </c>
      <c r="V200" s="17">
        <v>0</v>
      </c>
      <c r="W200" s="15">
        <f t="shared" si="161"/>
        <v>0</v>
      </c>
      <c r="X200" s="17">
        <v>0</v>
      </c>
      <c r="Y200" s="15">
        <f t="shared" si="162"/>
        <v>0</v>
      </c>
      <c r="Z200" s="17">
        <v>0</v>
      </c>
      <c r="AA200" s="15">
        <f t="shared" si="163"/>
        <v>0</v>
      </c>
      <c r="AB200" s="17">
        <v>0</v>
      </c>
      <c r="AC200" s="15">
        <f t="shared" si="164"/>
        <v>0</v>
      </c>
    </row>
    <row r="201" spans="2:29" ht="15">
      <c r="B201" s="8">
        <v>5971</v>
      </c>
      <c r="C201" s="8" t="s">
        <v>186</v>
      </c>
      <c r="D201" s="93">
        <f>+PRESUPACUM!D201</f>
        <v>1493981.16</v>
      </c>
      <c r="E201" s="93">
        <f>+PRESUPACUM!E201</f>
        <v>1057089.47</v>
      </c>
      <c r="F201" s="17">
        <v>0</v>
      </c>
      <c r="G201" s="59">
        <f t="shared" si="153"/>
        <v>0</v>
      </c>
      <c r="H201" s="17">
        <v>0</v>
      </c>
      <c r="I201" s="15">
        <f t="shared" si="154"/>
        <v>0</v>
      </c>
      <c r="J201" s="17">
        <v>0</v>
      </c>
      <c r="K201" s="15">
        <f t="shared" si="155"/>
        <v>0</v>
      </c>
      <c r="L201" s="17">
        <v>0</v>
      </c>
      <c r="M201" s="15">
        <f t="shared" si="156"/>
        <v>0</v>
      </c>
      <c r="N201" s="17">
        <v>0</v>
      </c>
      <c r="O201" s="15">
        <f t="shared" si="157"/>
        <v>0</v>
      </c>
      <c r="P201" s="17">
        <v>1057089.47</v>
      </c>
      <c r="Q201" s="15">
        <f t="shared" si="158"/>
        <v>1057089.47</v>
      </c>
      <c r="R201" s="17">
        <v>0</v>
      </c>
      <c r="S201" s="15">
        <f t="shared" si="159"/>
        <v>1057089.47</v>
      </c>
      <c r="T201" s="17">
        <v>0</v>
      </c>
      <c r="U201" s="15">
        <f t="shared" si="160"/>
        <v>1057089.47</v>
      </c>
      <c r="V201" s="17">
        <v>0</v>
      </c>
      <c r="W201" s="15">
        <f t="shared" si="161"/>
        <v>1057089.47</v>
      </c>
      <c r="X201" s="17">
        <v>0</v>
      </c>
      <c r="Y201" s="15">
        <f t="shared" si="162"/>
        <v>1057089.47</v>
      </c>
      <c r="Z201" s="17">
        <v>0</v>
      </c>
      <c r="AA201" s="15">
        <f t="shared" si="163"/>
        <v>1057089.47</v>
      </c>
      <c r="AB201" s="17">
        <v>0</v>
      </c>
      <c r="AC201" s="15">
        <f t="shared" si="164"/>
        <v>1057089.47</v>
      </c>
    </row>
    <row r="202" spans="2:29" ht="15">
      <c r="B202" s="8">
        <v>5991</v>
      </c>
      <c r="C202" s="8" t="s">
        <v>165</v>
      </c>
      <c r="D202" s="93">
        <f>+PRESUPACUM!D202</f>
        <v>0</v>
      </c>
      <c r="E202" s="93">
        <f>+PRESUPACUM!E202</f>
        <v>0</v>
      </c>
      <c r="F202" s="17">
        <v>0</v>
      </c>
      <c r="G202" s="59">
        <f t="shared" si="153"/>
        <v>0</v>
      </c>
      <c r="H202" s="17">
        <v>0</v>
      </c>
      <c r="I202" s="15">
        <f t="shared" si="154"/>
        <v>0</v>
      </c>
      <c r="J202" s="17">
        <v>0</v>
      </c>
      <c r="K202" s="15">
        <f t="shared" si="155"/>
        <v>0</v>
      </c>
      <c r="L202" s="17">
        <v>0</v>
      </c>
      <c r="M202" s="15">
        <f t="shared" si="156"/>
        <v>0</v>
      </c>
      <c r="N202" s="17">
        <v>0</v>
      </c>
      <c r="O202" s="15">
        <f t="shared" si="157"/>
        <v>0</v>
      </c>
      <c r="P202" s="17">
        <v>0</v>
      </c>
      <c r="Q202" s="15">
        <f t="shared" si="158"/>
        <v>0</v>
      </c>
      <c r="R202" s="17">
        <v>0</v>
      </c>
      <c r="S202" s="15">
        <f t="shared" si="159"/>
        <v>0</v>
      </c>
      <c r="T202" s="17">
        <v>0</v>
      </c>
      <c r="U202" s="15">
        <f t="shared" si="160"/>
        <v>0</v>
      </c>
      <c r="V202" s="17">
        <v>0</v>
      </c>
      <c r="W202" s="15">
        <f t="shared" si="161"/>
        <v>0</v>
      </c>
      <c r="X202" s="17">
        <v>0</v>
      </c>
      <c r="Y202" s="15">
        <f t="shared" si="162"/>
        <v>0</v>
      </c>
      <c r="Z202" s="17">
        <v>0</v>
      </c>
      <c r="AA202" s="15">
        <f t="shared" si="163"/>
        <v>0</v>
      </c>
      <c r="AB202" s="17">
        <v>0</v>
      </c>
      <c r="AC202" s="15">
        <f t="shared" si="164"/>
        <v>0</v>
      </c>
    </row>
  </sheetData>
  <sheetProtection/>
  <mergeCells count="3">
    <mergeCell ref="B5:AC5"/>
    <mergeCell ref="B3:AC3"/>
    <mergeCell ref="B1:AC1"/>
  </mergeCells>
  <printOptions headings="1"/>
  <pageMargins left="0" right="0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CASTRO RODRIGUEZ</dc:creator>
  <cp:keywords/>
  <dc:description/>
  <cp:lastModifiedBy>Miguel Federico Gutiérrez</cp:lastModifiedBy>
  <cp:lastPrinted>2017-05-03T08:23:28Z</cp:lastPrinted>
  <dcterms:created xsi:type="dcterms:W3CDTF">2000-03-31T17:05:02Z</dcterms:created>
  <dcterms:modified xsi:type="dcterms:W3CDTF">2018-09-13T16:35:25Z</dcterms:modified>
  <cp:category/>
  <cp:version/>
  <cp:contentType/>
  <cp:contentStatus/>
</cp:coreProperties>
</file>